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D:\STSS\E+E\"/>
    </mc:Choice>
  </mc:AlternateContent>
  <xr:revisionPtr revIDLastSave="0" documentId="13_ncr:1_{3380B180-5A45-40D3-B0B0-8CCE75ED1DD2}" xr6:coauthVersionLast="47" xr6:coauthVersionMax="47" xr10:uidLastSave="{00000000-0000-0000-0000-000000000000}"/>
  <bookViews>
    <workbookView xWindow="-120" yWindow="-120" windowWidth="20730" windowHeight="11160" activeTab="7" xr2:uid="{00000000-000D-0000-FFFF-FFFF00000000}"/>
  </bookViews>
  <sheets>
    <sheet name="ind 1" sheetId="3" r:id="rId1"/>
    <sheet name="ind 2" sheetId="1" r:id="rId2"/>
    <sheet name="ind 3" sheetId="2" r:id="rId3"/>
    <sheet name="ind 4" sheetId="4" r:id="rId4"/>
    <sheet name="ind 5" sheetId="5" r:id="rId5"/>
    <sheet name="ind 6" sheetId="6" r:id="rId6"/>
    <sheet name="ind 7" sheetId="7" r:id="rId7"/>
    <sheet name="ind 8" sheetId="8" r:id="rId8"/>
    <sheet name="Cuadro Resumen" sheetId="9" state="hidden" r:id="rId9"/>
    <sheet name="Pagos" sheetId="10" r:id="rId10"/>
  </sheets>
  <externalReferences>
    <externalReference r:id="rId11"/>
    <externalReference r:id="rId12"/>
  </externalReferences>
  <calcPr calcId="191029"/>
</workbook>
</file>

<file path=xl/calcChain.xml><?xml version="1.0" encoding="utf-8"?>
<calcChain xmlns="http://schemas.openxmlformats.org/spreadsheetml/2006/main">
  <c r="H16" i="8" l="1"/>
  <c r="K20" i="8"/>
  <c r="K18" i="8"/>
  <c r="K9" i="10" l="1"/>
  <c r="I176" i="6"/>
  <c r="H176" i="6"/>
  <c r="K154" i="6" s="1"/>
  <c r="G176" i="6"/>
  <c r="I175" i="6"/>
  <c r="H175" i="6"/>
  <c r="G175" i="6"/>
  <c r="I174" i="6"/>
  <c r="H174" i="6"/>
  <c r="G174" i="6"/>
  <c r="I173" i="6"/>
  <c r="H173" i="6"/>
  <c r="G173" i="6"/>
  <c r="I172" i="6"/>
  <c r="H172" i="6"/>
  <c r="G172" i="6"/>
  <c r="I171" i="6"/>
  <c r="H171" i="6"/>
  <c r="G171" i="6"/>
  <c r="I170" i="6"/>
  <c r="H170" i="6"/>
  <c r="G170" i="6"/>
  <c r="I169" i="6"/>
  <c r="H169" i="6"/>
  <c r="G169" i="6"/>
  <c r="I168" i="6"/>
  <c r="H168" i="6"/>
  <c r="K146" i="6" s="1"/>
  <c r="G168" i="6"/>
  <c r="I167" i="6"/>
  <c r="H167" i="6"/>
  <c r="G167" i="6"/>
  <c r="I166" i="6"/>
  <c r="L144" i="6" s="1"/>
  <c r="H166" i="6"/>
  <c r="G166" i="6"/>
  <c r="I165" i="6"/>
  <c r="H165" i="6"/>
  <c r="G165" i="6"/>
  <c r="I164" i="6"/>
  <c r="H164" i="6"/>
  <c r="L154" i="6"/>
  <c r="I154" i="6"/>
  <c r="H154" i="6"/>
  <c r="G154" i="6"/>
  <c r="L153" i="6"/>
  <c r="I153" i="6"/>
  <c r="H153" i="6"/>
  <c r="K153" i="6" s="1"/>
  <c r="G153" i="6"/>
  <c r="I152" i="6"/>
  <c r="H152" i="6"/>
  <c r="K152" i="6" s="1"/>
  <c r="G152" i="6"/>
  <c r="I151" i="6"/>
  <c r="H151" i="6"/>
  <c r="G151" i="6"/>
  <c r="I150" i="6"/>
  <c r="L150" i="6" s="1"/>
  <c r="H150" i="6"/>
  <c r="G150" i="6"/>
  <c r="I149" i="6"/>
  <c r="L149" i="6" s="1"/>
  <c r="H149" i="6"/>
  <c r="K149" i="6" s="1"/>
  <c r="G149" i="6"/>
  <c r="I148" i="6"/>
  <c r="H148" i="6"/>
  <c r="K148" i="6" s="1"/>
  <c r="G148" i="6"/>
  <c r="I147" i="6"/>
  <c r="H147" i="6"/>
  <c r="G147" i="6"/>
  <c r="L146" i="6"/>
  <c r="Q146" i="6" s="1"/>
  <c r="I146" i="6"/>
  <c r="H146" i="6"/>
  <c r="G146" i="6"/>
  <c r="O146" i="6" s="1"/>
  <c r="I145" i="6"/>
  <c r="L145" i="6" s="1"/>
  <c r="H145" i="6"/>
  <c r="K145" i="6" s="1"/>
  <c r="G145" i="6"/>
  <c r="O145" i="6" s="1"/>
  <c r="K144" i="6"/>
  <c r="P144" i="6" s="1"/>
  <c r="I144" i="6"/>
  <c r="H144" i="6"/>
  <c r="G144" i="6"/>
  <c r="O144" i="6" s="1"/>
  <c r="L143" i="6"/>
  <c r="D16" i="6" s="1"/>
  <c r="I143" i="6"/>
  <c r="H143" i="6"/>
  <c r="G143" i="6"/>
  <c r="L142" i="6"/>
  <c r="I142" i="6"/>
  <c r="H142" i="6"/>
  <c r="K142" i="6" s="1"/>
  <c r="K143" i="6" l="1"/>
  <c r="K147" i="6"/>
  <c r="L148" i="6"/>
  <c r="Q144" i="6" s="1"/>
  <c r="K151" i="6"/>
  <c r="L152" i="6"/>
  <c r="P145" i="6"/>
  <c r="L147" i="6"/>
  <c r="K150" i="6"/>
  <c r="L151" i="6"/>
  <c r="P146" i="6"/>
  <c r="P143" i="6" s="1"/>
  <c r="M150" i="6"/>
  <c r="Q145" i="6"/>
  <c r="M149" i="6" s="1"/>
  <c r="M146" i="6"/>
  <c r="M144" i="6" l="1"/>
  <c r="M148" i="6"/>
  <c r="Q143" i="6"/>
  <c r="E16" i="6" s="1"/>
  <c r="M145" i="6"/>
  <c r="M9" i="7"/>
  <c r="M143" i="6" l="1"/>
  <c r="M147" i="6"/>
  <c r="T115" i="6"/>
  <c r="R115" i="6"/>
  <c r="T114" i="6"/>
  <c r="S114" i="6"/>
  <c r="R114" i="6"/>
  <c r="Q118" i="6" s="1"/>
  <c r="Q114" i="6"/>
  <c r="Q117" i="6" s="1"/>
  <c r="R11" i="10"/>
  <c r="R10" i="10"/>
  <c r="R9" i="10"/>
  <c r="R8" i="10"/>
  <c r="R7" i="10"/>
  <c r="R6" i="10"/>
  <c r="R5" i="10"/>
  <c r="R4" i="10"/>
  <c r="C12" i="10"/>
  <c r="M11" i="10"/>
  <c r="M10" i="10"/>
  <c r="M9" i="10"/>
  <c r="M8" i="10"/>
  <c r="M7" i="10"/>
  <c r="M6" i="10"/>
  <c r="M5" i="10"/>
  <c r="M4" i="10"/>
  <c r="H11" i="10"/>
  <c r="H10" i="10"/>
  <c r="H9" i="10"/>
  <c r="H8" i="10"/>
  <c r="H7" i="10"/>
  <c r="H6" i="10"/>
  <c r="H5" i="10"/>
  <c r="H4" i="10"/>
  <c r="AE11" i="10"/>
  <c r="AE10" i="10"/>
  <c r="AE9" i="10"/>
  <c r="AE8" i="10"/>
  <c r="AE7" i="10"/>
  <c r="AE6" i="10"/>
  <c r="AE5" i="10"/>
  <c r="AE4" i="10"/>
  <c r="AE12" i="10" l="1"/>
  <c r="H84" i="8" l="1"/>
  <c r="G84" i="8"/>
  <c r="F84" i="8"/>
  <c r="F83" i="8"/>
  <c r="H83" i="8"/>
  <c r="G83" i="8"/>
  <c r="G86" i="8" l="1"/>
  <c r="H86" i="8"/>
  <c r="F15" i="2" l="1"/>
  <c r="G15" i="2" s="1"/>
  <c r="K6" i="10" s="1"/>
  <c r="F16" i="6"/>
  <c r="G16" i="6" s="1"/>
  <c r="H46" i="6"/>
  <c r="G53" i="6"/>
  <c r="H50" i="6" s="1"/>
  <c r="F75" i="4"/>
  <c r="H42" i="6" l="1"/>
  <c r="H43" i="6"/>
  <c r="H47" i="6"/>
  <c r="J6" i="10"/>
  <c r="H51" i="6"/>
  <c r="H44" i="6"/>
  <c r="H52" i="6"/>
  <c r="H48" i="6"/>
  <c r="H41" i="6"/>
  <c r="H45" i="6"/>
  <c r="H49" i="6"/>
  <c r="H53" i="6"/>
  <c r="E16" i="8" l="1"/>
  <c r="H82" i="8" s="1"/>
  <c r="H87" i="8" s="1"/>
  <c r="F48" i="8"/>
  <c r="F47" i="8"/>
  <c r="F46" i="8"/>
  <c r="D4" i="8" l="1"/>
  <c r="E10" i="8"/>
  <c r="G46" i="8"/>
  <c r="E4" i="8"/>
  <c r="F82" i="8" s="1"/>
  <c r="F87" i="8" s="1"/>
  <c r="D46" i="8"/>
  <c r="C47" i="8" s="1"/>
  <c r="D47" i="8" s="1"/>
  <c r="C48" i="8" s="1"/>
  <c r="G48" i="8" s="1"/>
  <c r="G82" i="8" l="1"/>
  <c r="G87" i="8" s="1"/>
  <c r="G47" i="8"/>
  <c r="D48" i="8"/>
  <c r="C49" i="8" s="1"/>
  <c r="G49" i="8" s="1"/>
  <c r="F16" i="5"/>
  <c r="N9" i="7"/>
  <c r="J10" i="10" s="1"/>
  <c r="F88" i="4"/>
  <c r="F87" i="4"/>
  <c r="H86" i="4"/>
  <c r="G86" i="4"/>
  <c r="H74" i="4"/>
  <c r="G74" i="4"/>
  <c r="F81" i="4"/>
  <c r="F80" i="4"/>
  <c r="F79" i="4"/>
  <c r="F78" i="4"/>
  <c r="F77" i="4"/>
  <c r="F76" i="4"/>
  <c r="F82" i="4"/>
  <c r="F86" i="4" l="1"/>
  <c r="G88" i="8"/>
  <c r="H88" i="8"/>
  <c r="F91" i="4"/>
  <c r="I15" i="4" s="1"/>
  <c r="J15" i="4" s="1"/>
  <c r="O9" i="7"/>
  <c r="K10" i="10" s="1"/>
  <c r="F74" i="4"/>
  <c r="G16" i="5"/>
  <c r="K8" i="10" s="1"/>
  <c r="J8" i="10"/>
  <c r="D49" i="8"/>
  <c r="C50" i="8" s="1"/>
  <c r="G50" i="8" s="1"/>
  <c r="F15" i="1"/>
  <c r="G15" i="1" s="1"/>
  <c r="G16" i="3"/>
  <c r="H16" i="3" s="1"/>
  <c r="G9" i="3"/>
  <c r="H12" i="10"/>
  <c r="I11" i="10" s="1"/>
  <c r="M12" i="10"/>
  <c r="N9" i="10" s="1"/>
  <c r="R12" i="10"/>
  <c r="S9" i="10" s="1"/>
  <c r="W11" i="10"/>
  <c r="W10" i="10"/>
  <c r="W9" i="10"/>
  <c r="W8" i="10"/>
  <c r="W7" i="10"/>
  <c r="W6" i="10"/>
  <c r="W5" i="10"/>
  <c r="W4" i="10"/>
  <c r="J7" i="10" l="1"/>
  <c r="K15" i="4"/>
  <c r="K7" i="10" s="1"/>
  <c r="S10" i="10"/>
  <c r="S7" i="10"/>
  <c r="S11" i="10"/>
  <c r="S6" i="10"/>
  <c r="S4" i="10"/>
  <c r="S8" i="10"/>
  <c r="S5" i="10"/>
  <c r="N10" i="10"/>
  <c r="N6" i="10"/>
  <c r="N7" i="10"/>
  <c r="N11" i="10"/>
  <c r="N4" i="10"/>
  <c r="N8" i="10"/>
  <c r="N5" i="10"/>
  <c r="I4" i="10"/>
  <c r="AB12" i="10"/>
  <c r="I10" i="10" l="1"/>
  <c r="I9" i="10"/>
  <c r="I8" i="10"/>
  <c r="I7" i="10"/>
  <c r="I6" i="10"/>
  <c r="I5" i="10"/>
  <c r="S12" i="10"/>
  <c r="N12" i="10"/>
  <c r="D11" i="10"/>
  <c r="D10" i="10"/>
  <c r="D9" i="10"/>
  <c r="D8" i="10"/>
  <c r="D7" i="10"/>
  <c r="D6" i="10"/>
  <c r="D5" i="10"/>
  <c r="B11" i="10"/>
  <c r="B10" i="10"/>
  <c r="B9" i="10"/>
  <c r="B8" i="10"/>
  <c r="B7" i="10"/>
  <c r="B6" i="10"/>
  <c r="B5" i="10"/>
  <c r="B4" i="10"/>
  <c r="Y7" i="10" l="1"/>
  <c r="Y8" i="10"/>
  <c r="Y9" i="10"/>
  <c r="Y6" i="10"/>
  <c r="Y10" i="10"/>
  <c r="Y11" i="10"/>
  <c r="D6" i="8" l="1"/>
  <c r="D7" i="8" s="1"/>
  <c r="D8" i="8" s="1"/>
  <c r="E12" i="8"/>
  <c r="E13" i="8" s="1"/>
  <c r="E14" i="8" s="1"/>
  <c r="E15" i="8" s="1"/>
  <c r="D12" i="8"/>
  <c r="D13" i="8" s="1"/>
  <c r="D14" i="8" s="1"/>
  <c r="D15" i="8" s="1"/>
  <c r="E6" i="8"/>
  <c r="E7" i="8" s="1"/>
  <c r="E8" i="8" s="1"/>
  <c r="E20" i="6"/>
  <c r="E21" i="6" s="1"/>
  <c r="E22" i="6" s="1"/>
  <c r="E25" i="6" s="1"/>
  <c r="E26" i="6" s="1"/>
  <c r="E27" i="6" s="1"/>
  <c r="E28" i="6" s="1"/>
  <c r="D6" i="6"/>
  <c r="D7" i="6" s="1"/>
  <c r="D8" i="6" s="1"/>
  <c r="D11" i="6" s="1"/>
  <c r="D12" i="6" s="1"/>
  <c r="D13" i="6" s="1"/>
  <c r="D14" i="6" s="1"/>
  <c r="D19" i="6" s="1"/>
  <c r="D20" i="6" s="1"/>
  <c r="D21" i="6" s="1"/>
  <c r="D22" i="6" s="1"/>
  <c r="D25" i="6" s="1"/>
  <c r="D26" i="6" s="1"/>
  <c r="D27" i="6" s="1"/>
  <c r="D28" i="6" s="1"/>
  <c r="E6" i="6"/>
  <c r="E7" i="6" s="1"/>
  <c r="E8" i="6" s="1"/>
  <c r="E11" i="6" s="1"/>
  <c r="E12" i="6" s="1"/>
  <c r="E13" i="6" s="1"/>
  <c r="E14" i="6" s="1"/>
  <c r="E25" i="1"/>
  <c r="E26" i="1" s="1"/>
  <c r="E27" i="1" s="1"/>
  <c r="D25" i="1"/>
  <c r="D26" i="1" s="1"/>
  <c r="D27" i="1" s="1"/>
  <c r="E19" i="1"/>
  <c r="E20" i="1" s="1"/>
  <c r="E21" i="1" s="1"/>
  <c r="D19" i="1"/>
  <c r="D20" i="1" s="1"/>
  <c r="D21" i="1" s="1"/>
  <c r="D11" i="1"/>
  <c r="D12" i="1" s="1"/>
  <c r="D13" i="1" s="1"/>
  <c r="D14" i="1" s="1"/>
  <c r="E12" i="1"/>
  <c r="E13" i="1" s="1"/>
  <c r="E14" i="1" s="1"/>
  <c r="D6" i="1"/>
  <c r="D7" i="1" s="1"/>
  <c r="D8" i="1" s="1"/>
  <c r="E6" i="1"/>
  <c r="E7" i="1" s="1"/>
  <c r="E8" i="1" s="1"/>
  <c r="D25" i="3"/>
  <c r="D26" i="3" s="1"/>
  <c r="D27" i="3" s="1"/>
  <c r="D28" i="3" s="1"/>
  <c r="F19" i="3"/>
  <c r="F20" i="3" s="1"/>
  <c r="E19" i="3"/>
  <c r="E20" i="3"/>
  <c r="E21" i="3" s="1"/>
  <c r="E22" i="3" s="1"/>
  <c r="E25" i="3" s="1"/>
  <c r="E26" i="3" s="1"/>
  <c r="E27" i="3" s="1"/>
  <c r="E28" i="3" s="1"/>
  <c r="D6" i="3"/>
  <c r="D7" i="3" s="1"/>
  <c r="D8" i="3" s="1"/>
  <c r="D12" i="3" s="1"/>
  <c r="D13" i="3" s="1"/>
  <c r="D14" i="3" s="1"/>
  <c r="D15" i="3" s="1"/>
  <c r="D19" i="3" s="1"/>
  <c r="D20" i="3" s="1"/>
  <c r="D21" i="3" s="1"/>
  <c r="D22" i="3" s="1"/>
  <c r="F6" i="3"/>
  <c r="F7" i="3" s="1"/>
  <c r="F8" i="3" s="1"/>
  <c r="F12" i="3" s="1"/>
  <c r="E6" i="3"/>
  <c r="E7" i="3" s="1"/>
  <c r="E8" i="3" s="1"/>
  <c r="E12" i="3" s="1"/>
  <c r="E21" i="8" l="1"/>
  <c r="E22" i="8" s="1"/>
  <c r="E23" i="8" s="1"/>
  <c r="E24" i="8" s="1"/>
  <c r="E28" i="8"/>
  <c r="E29" i="8" s="1"/>
  <c r="E30" i="8" s="1"/>
  <c r="E31" i="8" s="1"/>
  <c r="D21" i="8"/>
  <c r="D22" i="8" s="1"/>
  <c r="D23" i="8" s="1"/>
  <c r="D24" i="8" s="1"/>
  <c r="F24" i="8" s="1"/>
  <c r="G24" i="8" s="1"/>
  <c r="G27" i="8" s="1"/>
  <c r="E13" i="3"/>
  <c r="E14" i="3" s="1"/>
  <c r="E15" i="3"/>
  <c r="F13" i="3"/>
  <c r="F14" i="3" s="1"/>
  <c r="F15" i="3"/>
  <c r="F8" i="1"/>
  <c r="G8" i="1" s="1"/>
  <c r="F21" i="3"/>
  <c r="F22" i="3" s="1"/>
  <c r="F25" i="3" s="1"/>
  <c r="F26" i="3" s="1"/>
  <c r="F27" i="3" s="1"/>
  <c r="F28" i="3" s="1"/>
  <c r="F8" i="8"/>
  <c r="G8" i="8" s="1"/>
  <c r="F7" i="8"/>
  <c r="G7" i="8" s="1"/>
  <c r="F31" i="9" s="1"/>
  <c r="F6" i="8"/>
  <c r="G6" i="8" s="1"/>
  <c r="E31" i="9" s="1"/>
  <c r="F5" i="8"/>
  <c r="G5" i="8" s="1"/>
  <c r="D31" i="9" s="1"/>
  <c r="F22" i="8"/>
  <c r="G22" i="8" s="1"/>
  <c r="M31" i="9" s="1"/>
  <c r="F15" i="8"/>
  <c r="G15" i="8" s="1"/>
  <c r="G20" i="8" s="1"/>
  <c r="F14" i="8"/>
  <c r="G14" i="8" s="1"/>
  <c r="J31" i="9" s="1"/>
  <c r="F13" i="8"/>
  <c r="G13" i="8" s="1"/>
  <c r="I31" i="9" s="1"/>
  <c r="F12" i="8"/>
  <c r="G12" i="8" s="1"/>
  <c r="H31" i="9" s="1"/>
  <c r="B31" i="9"/>
  <c r="A31" i="9"/>
  <c r="S27" i="9"/>
  <c r="R27" i="9"/>
  <c r="Q27" i="9"/>
  <c r="P27" i="9"/>
  <c r="O27" i="9"/>
  <c r="N27" i="9"/>
  <c r="M27" i="9"/>
  <c r="L27" i="9"/>
  <c r="K27" i="9"/>
  <c r="J27" i="9"/>
  <c r="I27" i="9"/>
  <c r="H27" i="9"/>
  <c r="G27" i="9"/>
  <c r="F27" i="9"/>
  <c r="E27" i="9"/>
  <c r="D27" i="9"/>
  <c r="T6" i="7"/>
  <c r="Q28" i="9" s="1"/>
  <c r="T7" i="7"/>
  <c r="R28" i="9" s="1"/>
  <c r="T8" i="7"/>
  <c r="S28" i="9" s="1"/>
  <c r="T10" i="10" s="1"/>
  <c r="T5" i="7"/>
  <c r="P28" i="9" s="1"/>
  <c r="Q6" i="7"/>
  <c r="M28" i="9" s="1"/>
  <c r="Q7" i="7"/>
  <c r="N28" i="9" s="1"/>
  <c r="Q8" i="7"/>
  <c r="O28" i="9" s="1"/>
  <c r="O10" i="10" s="1"/>
  <c r="Q5" i="7"/>
  <c r="L28" i="9" s="1"/>
  <c r="N6" i="7"/>
  <c r="I28" i="9" s="1"/>
  <c r="N7" i="7"/>
  <c r="J28" i="9" s="1"/>
  <c r="N8" i="7"/>
  <c r="K28" i="9" s="1"/>
  <c r="N5" i="7"/>
  <c r="H28" i="9" s="1"/>
  <c r="K6" i="7"/>
  <c r="E28" i="9" s="1"/>
  <c r="K7" i="7"/>
  <c r="F28" i="9" s="1"/>
  <c r="K8" i="7"/>
  <c r="G28" i="9" s="1"/>
  <c r="E10" i="10" s="1"/>
  <c r="K5" i="7"/>
  <c r="D28" i="9" s="1"/>
  <c r="B27" i="9"/>
  <c r="A27" i="9"/>
  <c r="F6" i="6"/>
  <c r="G6" i="6" s="1"/>
  <c r="E23" i="9" s="1"/>
  <c r="F7" i="6"/>
  <c r="G7" i="6" s="1"/>
  <c r="F23" i="9" s="1"/>
  <c r="F8" i="6"/>
  <c r="G8" i="6" s="1"/>
  <c r="G10" i="6" s="1"/>
  <c r="H16" i="6" s="1"/>
  <c r="F5" i="6"/>
  <c r="G5" i="6" s="1"/>
  <c r="D23" i="9" s="1"/>
  <c r="F28" i="6"/>
  <c r="G28" i="6" s="1"/>
  <c r="S23" i="9" s="1"/>
  <c r="F27" i="6"/>
  <c r="G27" i="6" s="1"/>
  <c r="R23" i="9" s="1"/>
  <c r="F26" i="6"/>
  <c r="G26" i="6" s="1"/>
  <c r="Q23" i="9" s="1"/>
  <c r="F25" i="6"/>
  <c r="G25" i="6" s="1"/>
  <c r="F22" i="6"/>
  <c r="G22" i="6" s="1"/>
  <c r="G24" i="6" s="1"/>
  <c r="F21" i="6"/>
  <c r="G21" i="6" s="1"/>
  <c r="N23" i="9" s="1"/>
  <c r="F20" i="6"/>
  <c r="G20" i="6" s="1"/>
  <c r="M23" i="9" s="1"/>
  <c r="F19" i="6"/>
  <c r="G19" i="6" s="1"/>
  <c r="L23" i="9" s="1"/>
  <c r="F14" i="6"/>
  <c r="G14" i="6" s="1"/>
  <c r="G18" i="6" s="1"/>
  <c r="F12" i="6"/>
  <c r="G12" i="6" s="1"/>
  <c r="I23" i="9" s="1"/>
  <c r="F11" i="6"/>
  <c r="G11" i="6" s="1"/>
  <c r="H23" i="9" s="1"/>
  <c r="B23" i="9"/>
  <c r="A23" i="9"/>
  <c r="B19" i="9"/>
  <c r="S19" i="9"/>
  <c r="R19" i="9"/>
  <c r="Q19" i="9"/>
  <c r="P19" i="9"/>
  <c r="O19" i="9"/>
  <c r="N19" i="9"/>
  <c r="M19" i="9"/>
  <c r="L19" i="9"/>
  <c r="K19" i="9"/>
  <c r="J19" i="9"/>
  <c r="I19" i="9"/>
  <c r="H19" i="9"/>
  <c r="G19" i="9"/>
  <c r="F19" i="9"/>
  <c r="E19" i="9"/>
  <c r="D19" i="9"/>
  <c r="F7" i="5"/>
  <c r="G7" i="5" s="1"/>
  <c r="E21" i="9" s="1"/>
  <c r="F8" i="5"/>
  <c r="G8" i="5" s="1"/>
  <c r="F21" i="9" s="1"/>
  <c r="F9" i="5"/>
  <c r="G9" i="5" s="1"/>
  <c r="G21" i="9" s="1"/>
  <c r="F8" i="10" s="1"/>
  <c r="G8" i="10" s="1"/>
  <c r="A19" i="9"/>
  <c r="S15" i="9"/>
  <c r="R15" i="9"/>
  <c r="Q15" i="9"/>
  <c r="P15" i="9"/>
  <c r="O15" i="9"/>
  <c r="N15" i="9"/>
  <c r="M15" i="9"/>
  <c r="L15" i="9"/>
  <c r="K15" i="9"/>
  <c r="J15" i="9"/>
  <c r="I15" i="9"/>
  <c r="H15" i="9"/>
  <c r="G15" i="9"/>
  <c r="F15" i="9"/>
  <c r="E15" i="9"/>
  <c r="D15" i="9"/>
  <c r="J8" i="4"/>
  <c r="K8" i="4" s="1"/>
  <c r="G17" i="9" s="1"/>
  <c r="F7" i="10" s="1"/>
  <c r="G7" i="10" s="1"/>
  <c r="B15" i="9"/>
  <c r="A15" i="9"/>
  <c r="J25" i="4"/>
  <c r="Q16" i="9" s="1"/>
  <c r="J26" i="4"/>
  <c r="K26" i="4" s="1"/>
  <c r="R17" i="9" s="1"/>
  <c r="J27" i="4"/>
  <c r="S16" i="9" s="1"/>
  <c r="T7" i="10" s="1"/>
  <c r="J24" i="4"/>
  <c r="P16" i="9" s="1"/>
  <c r="J19" i="4"/>
  <c r="M16" i="9" s="1"/>
  <c r="J20" i="4"/>
  <c r="N16" i="9" s="1"/>
  <c r="J21" i="4"/>
  <c r="O16" i="9" s="1"/>
  <c r="O7" i="10" s="1"/>
  <c r="J18" i="4"/>
  <c r="L16" i="9" s="1"/>
  <c r="J14" i="4"/>
  <c r="K16" i="9" s="1"/>
  <c r="J13" i="4"/>
  <c r="J16" i="9" s="1"/>
  <c r="J12" i="4"/>
  <c r="K12" i="4" s="1"/>
  <c r="I17" i="9" s="1"/>
  <c r="M5" i="9"/>
  <c r="R11" i="9"/>
  <c r="Q11" i="9"/>
  <c r="S11" i="9"/>
  <c r="P11" i="9"/>
  <c r="O11" i="9"/>
  <c r="N11" i="9"/>
  <c r="M11" i="9"/>
  <c r="L11" i="9"/>
  <c r="K11" i="9"/>
  <c r="J11" i="9"/>
  <c r="I11" i="9"/>
  <c r="H11" i="9"/>
  <c r="G11" i="9"/>
  <c r="F11" i="9"/>
  <c r="E11" i="9"/>
  <c r="D11" i="9"/>
  <c r="B11" i="9"/>
  <c r="A11" i="9"/>
  <c r="G26" i="2"/>
  <c r="Q13" i="9" s="1"/>
  <c r="G27" i="2"/>
  <c r="R13" i="9" s="1"/>
  <c r="G28" i="2"/>
  <c r="S13" i="9" s="1"/>
  <c r="U6" i="10" s="1"/>
  <c r="V6" i="10" s="1"/>
  <c r="G20" i="2"/>
  <c r="M13" i="9" s="1"/>
  <c r="G21" i="2"/>
  <c r="N13" i="9" s="1"/>
  <c r="G22" i="2"/>
  <c r="O13" i="9" s="1"/>
  <c r="P6" i="10" s="1"/>
  <c r="Q6" i="10" s="1"/>
  <c r="B7" i="9"/>
  <c r="A7" i="9"/>
  <c r="F27" i="1"/>
  <c r="G27" i="1" s="1"/>
  <c r="F26" i="1"/>
  <c r="G26" i="1" s="1"/>
  <c r="R7" i="9" s="1"/>
  <c r="F25" i="1"/>
  <c r="G25" i="1" s="1"/>
  <c r="F24" i="1"/>
  <c r="G24" i="1" s="1"/>
  <c r="F21" i="1"/>
  <c r="G21" i="1" s="1"/>
  <c r="G23" i="1" s="1"/>
  <c r="F20" i="1"/>
  <c r="G20" i="1" s="1"/>
  <c r="F19" i="1"/>
  <c r="G19" i="1" s="1"/>
  <c r="F18" i="1"/>
  <c r="G18" i="1" s="1"/>
  <c r="F14" i="1"/>
  <c r="G14" i="1" s="1"/>
  <c r="G17" i="1" s="1"/>
  <c r="F13" i="1"/>
  <c r="G13" i="1" s="1"/>
  <c r="F12" i="1"/>
  <c r="F11" i="1"/>
  <c r="G11" i="1" s="1"/>
  <c r="F5" i="1"/>
  <c r="G5" i="1" s="1"/>
  <c r="D7" i="9" s="1"/>
  <c r="F6" i="1"/>
  <c r="G6" i="1" s="1"/>
  <c r="E7" i="9" s="1"/>
  <c r="F7" i="1"/>
  <c r="G7" i="1" s="1"/>
  <c r="F7" i="9" s="1"/>
  <c r="G21" i="3"/>
  <c r="H21" i="3" s="1"/>
  <c r="N3" i="9" s="1"/>
  <c r="G20" i="3"/>
  <c r="H20" i="3" s="1"/>
  <c r="G19" i="3"/>
  <c r="H19" i="3" s="1"/>
  <c r="G12" i="3"/>
  <c r="H12" i="3" s="1"/>
  <c r="G8" i="3"/>
  <c r="G7" i="3"/>
  <c r="H7" i="3" s="1"/>
  <c r="F3" i="9" s="1"/>
  <c r="G6" i="3"/>
  <c r="H6" i="3" s="1"/>
  <c r="E3" i="9" s="1"/>
  <c r="G5" i="3"/>
  <c r="H5" i="3" s="1"/>
  <c r="D3" i="9" s="1"/>
  <c r="H8" i="3"/>
  <c r="B3" i="9"/>
  <c r="F4" i="8"/>
  <c r="G4" i="8" s="1"/>
  <c r="U5" i="7"/>
  <c r="P29" i="9" s="1"/>
  <c r="I4" i="7"/>
  <c r="J4" i="7" s="1"/>
  <c r="F4" i="6"/>
  <c r="G4" i="6" s="1"/>
  <c r="C23" i="9" s="1"/>
  <c r="F4" i="1"/>
  <c r="G4" i="1" s="1"/>
  <c r="C7" i="9" s="1"/>
  <c r="F23" i="5"/>
  <c r="G23" i="5" s="1"/>
  <c r="O21" i="9" s="1"/>
  <c r="P8" i="10" s="1"/>
  <c r="Q8" i="10" s="1"/>
  <c r="F22" i="5"/>
  <c r="G22" i="5" s="1"/>
  <c r="N21" i="9" s="1"/>
  <c r="F21" i="5"/>
  <c r="G21" i="5" s="1"/>
  <c r="M21" i="9" s="1"/>
  <c r="F20" i="5"/>
  <c r="G20" i="5" s="1"/>
  <c r="L21" i="9" s="1"/>
  <c r="F29" i="5"/>
  <c r="G29" i="5" s="1"/>
  <c r="S21" i="9" s="1"/>
  <c r="U8" i="10" s="1"/>
  <c r="V8" i="10" s="1"/>
  <c r="F15" i="5"/>
  <c r="G15" i="5" s="1"/>
  <c r="K21" i="9" s="1"/>
  <c r="L8" i="10" s="1"/>
  <c r="F28" i="5"/>
  <c r="G28" i="5" s="1"/>
  <c r="R21" i="9" s="1"/>
  <c r="F14" i="5"/>
  <c r="G14" i="5" s="1"/>
  <c r="J21" i="9" s="1"/>
  <c r="F27" i="5"/>
  <c r="G27" i="5" s="1"/>
  <c r="Q21" i="9" s="1"/>
  <c r="F13" i="5"/>
  <c r="G13" i="5" s="1"/>
  <c r="I21" i="9" s="1"/>
  <c r="F26" i="5"/>
  <c r="P20" i="9" s="1"/>
  <c r="F12" i="5"/>
  <c r="G12" i="5" s="1"/>
  <c r="H21" i="9" s="1"/>
  <c r="F6" i="5"/>
  <c r="G6" i="5" s="1"/>
  <c r="D21" i="9" s="1"/>
  <c r="J11" i="4"/>
  <c r="K11" i="4" s="1"/>
  <c r="H17" i="9" s="1"/>
  <c r="J6" i="4"/>
  <c r="K6" i="4" s="1"/>
  <c r="E17" i="9" s="1"/>
  <c r="J7" i="4"/>
  <c r="K7" i="4" s="1"/>
  <c r="F17" i="9" s="1"/>
  <c r="J5" i="4"/>
  <c r="K5" i="4" s="1"/>
  <c r="D17" i="9" s="1"/>
  <c r="G19" i="2"/>
  <c r="L13" i="9" s="1"/>
  <c r="G25" i="2"/>
  <c r="P13" i="9" s="1"/>
  <c r="F26" i="2"/>
  <c r="Q12" i="9" s="1"/>
  <c r="F27" i="2"/>
  <c r="R12" i="9" s="1"/>
  <c r="F28" i="2"/>
  <c r="S12" i="9" s="1"/>
  <c r="T6" i="10" s="1"/>
  <c r="F25" i="2"/>
  <c r="P12" i="9" s="1"/>
  <c r="F20" i="2"/>
  <c r="M12" i="9" s="1"/>
  <c r="F21" i="2"/>
  <c r="N12" i="9" s="1"/>
  <c r="F22" i="2"/>
  <c r="O12" i="9" s="1"/>
  <c r="O6" i="10" s="1"/>
  <c r="F19" i="2"/>
  <c r="L12" i="9" s="1"/>
  <c r="F12" i="2"/>
  <c r="G12" i="2" s="1"/>
  <c r="I13" i="9" s="1"/>
  <c r="F13" i="2"/>
  <c r="G13" i="2" s="1"/>
  <c r="J13" i="9" s="1"/>
  <c r="F14" i="2"/>
  <c r="G14" i="2" s="1"/>
  <c r="K13" i="9" s="1"/>
  <c r="L6" i="10" s="1"/>
  <c r="F6" i="2"/>
  <c r="G6" i="2" s="1"/>
  <c r="E13" i="9" s="1"/>
  <c r="F7" i="2"/>
  <c r="G7" i="2" s="1"/>
  <c r="F13" i="9" s="1"/>
  <c r="F8" i="2"/>
  <c r="G8" i="2" s="1"/>
  <c r="G13" i="9" s="1"/>
  <c r="F6" i="10" s="1"/>
  <c r="G6" i="10" s="1"/>
  <c r="F11" i="2"/>
  <c r="G11" i="2" s="1"/>
  <c r="H13" i="9" s="1"/>
  <c r="F5" i="2"/>
  <c r="G5" i="2" s="1"/>
  <c r="D13" i="9" s="1"/>
  <c r="F23" i="8" l="1"/>
  <c r="G23" i="8" s="1"/>
  <c r="N31" i="9" s="1"/>
  <c r="L5" i="7"/>
  <c r="D29" i="9" s="1"/>
  <c r="G14" i="3"/>
  <c r="H14" i="3" s="1"/>
  <c r="J3" i="9" s="1"/>
  <c r="F21" i="8"/>
  <c r="G21" i="8" s="1"/>
  <c r="L31" i="9" s="1"/>
  <c r="J9" i="10"/>
  <c r="I16" i="6"/>
  <c r="D28" i="8"/>
  <c r="G15" i="3"/>
  <c r="H15" i="3" s="1"/>
  <c r="K3" i="9" s="1"/>
  <c r="H4" i="8"/>
  <c r="H8" i="8" s="1"/>
  <c r="K27" i="4"/>
  <c r="S17" i="9" s="1"/>
  <c r="U7" i="10" s="1"/>
  <c r="V7" i="10" s="1"/>
  <c r="K24" i="4"/>
  <c r="P17" i="9" s="1"/>
  <c r="G26" i="5"/>
  <c r="P21" i="9" s="1"/>
  <c r="G20" i="9"/>
  <c r="E8" i="10" s="1"/>
  <c r="K20" i="9"/>
  <c r="O20" i="9"/>
  <c r="O8" i="10" s="1"/>
  <c r="K18" i="4"/>
  <c r="L17" i="9" s="1"/>
  <c r="K25" i="4"/>
  <c r="Q17" i="9" s="1"/>
  <c r="I16" i="9"/>
  <c r="K21" i="4"/>
  <c r="O17" i="9" s="1"/>
  <c r="P7" i="10" s="1"/>
  <c r="Q7" i="10" s="1"/>
  <c r="K19" i="4"/>
  <c r="M17" i="9" s="1"/>
  <c r="X8" i="10"/>
  <c r="Z8" i="10" s="1"/>
  <c r="R16" i="9"/>
  <c r="S20" i="9"/>
  <c r="T8" i="10" s="1"/>
  <c r="F16" i="9"/>
  <c r="K20" i="4"/>
  <c r="N17" i="9" s="1"/>
  <c r="X6" i="10"/>
  <c r="Z6" i="10" s="1"/>
  <c r="E16" i="9"/>
  <c r="F20" i="9"/>
  <c r="J20" i="9"/>
  <c r="N20" i="9"/>
  <c r="R20" i="9"/>
  <c r="D16" i="9"/>
  <c r="H16" i="9"/>
  <c r="E20" i="9"/>
  <c r="I20" i="9"/>
  <c r="M20" i="9"/>
  <c r="Q20" i="9"/>
  <c r="G13" i="3"/>
  <c r="H13" i="3" s="1"/>
  <c r="I3" i="9" s="1"/>
  <c r="G16" i="9"/>
  <c r="E7" i="10" s="1"/>
  <c r="D20" i="9"/>
  <c r="H20" i="9"/>
  <c r="L20" i="9"/>
  <c r="C31" i="9"/>
  <c r="K31" i="9"/>
  <c r="O31" i="9"/>
  <c r="G11" i="8"/>
  <c r="G31" i="9"/>
  <c r="G3" i="9"/>
  <c r="H11" i="3"/>
  <c r="M3" i="9"/>
  <c r="H25" i="6"/>
  <c r="I25" i="6" s="1"/>
  <c r="P25" i="9" s="1"/>
  <c r="P23" i="9"/>
  <c r="H27" i="6"/>
  <c r="I27" i="6" s="1"/>
  <c r="R25" i="9" s="1"/>
  <c r="H26" i="6"/>
  <c r="I26" i="6" s="1"/>
  <c r="Q25" i="9" s="1"/>
  <c r="H28" i="6"/>
  <c r="I28" i="6" s="1"/>
  <c r="S25" i="9" s="1"/>
  <c r="U9" i="10" s="1"/>
  <c r="V9" i="10" s="1"/>
  <c r="O23" i="9"/>
  <c r="F13" i="6"/>
  <c r="G13" i="6" s="1"/>
  <c r="J23" i="9" s="1"/>
  <c r="H19" i="6"/>
  <c r="I19" i="6" s="1"/>
  <c r="L25" i="9" s="1"/>
  <c r="H21" i="6"/>
  <c r="I21" i="6" s="1"/>
  <c r="N25" i="9" s="1"/>
  <c r="H20" i="6"/>
  <c r="I20" i="6" s="1"/>
  <c r="M25" i="9" s="1"/>
  <c r="H22" i="6"/>
  <c r="I22" i="6" s="1"/>
  <c r="O25" i="9" s="1"/>
  <c r="P9" i="10" s="1"/>
  <c r="Q9" i="10" s="1"/>
  <c r="K23" i="9"/>
  <c r="H12" i="6"/>
  <c r="I12" i="6" s="1"/>
  <c r="I25" i="9" s="1"/>
  <c r="H14" i="6"/>
  <c r="I14" i="6" s="1"/>
  <c r="K25" i="9" s="1"/>
  <c r="L9" i="10" s="1"/>
  <c r="H11" i="6"/>
  <c r="I11" i="6" s="1"/>
  <c r="H25" i="9" s="1"/>
  <c r="G23" i="9"/>
  <c r="P24" i="9"/>
  <c r="I12" i="9"/>
  <c r="K12" i="9"/>
  <c r="H12" i="9"/>
  <c r="J12" i="9"/>
  <c r="G12" i="9"/>
  <c r="E6" i="10" s="1"/>
  <c r="F12" i="9"/>
  <c r="E12" i="9"/>
  <c r="D12" i="9"/>
  <c r="G7" i="9"/>
  <c r="G10" i="1"/>
  <c r="H26" i="1"/>
  <c r="I26" i="1" s="1"/>
  <c r="R9" i="9" s="1"/>
  <c r="N7" i="9"/>
  <c r="H20" i="1"/>
  <c r="I20" i="1" s="1"/>
  <c r="N9" i="9" s="1"/>
  <c r="H24" i="1"/>
  <c r="I24" i="1" s="1"/>
  <c r="P9" i="9" s="1"/>
  <c r="H18" i="1"/>
  <c r="I18" i="1" s="1"/>
  <c r="L9" i="9" s="1"/>
  <c r="J7" i="9"/>
  <c r="K7" i="9"/>
  <c r="M7" i="9"/>
  <c r="H19" i="1"/>
  <c r="O7" i="9"/>
  <c r="H21" i="1"/>
  <c r="Q7" i="9"/>
  <c r="H25" i="1"/>
  <c r="S7" i="9"/>
  <c r="H27" i="1"/>
  <c r="H7" i="9"/>
  <c r="L7" i="9"/>
  <c r="P7" i="9"/>
  <c r="N8" i="9"/>
  <c r="G12" i="1"/>
  <c r="I7" i="9" s="1"/>
  <c r="G22" i="3"/>
  <c r="H22" i="3" s="1"/>
  <c r="O3" i="9" s="1"/>
  <c r="H3" i="9"/>
  <c r="L3" i="9"/>
  <c r="K13" i="4"/>
  <c r="J17" i="9" s="1"/>
  <c r="K14" i="4"/>
  <c r="K17" i="9" s="1"/>
  <c r="U7" i="7"/>
  <c r="R29" i="9" s="1"/>
  <c r="U8" i="7"/>
  <c r="S29" i="9" s="1"/>
  <c r="U10" i="10" s="1"/>
  <c r="V10" i="10" s="1"/>
  <c r="U6" i="7"/>
  <c r="Q29" i="9" s="1"/>
  <c r="R6" i="7"/>
  <c r="M29" i="9" s="1"/>
  <c r="R5" i="7"/>
  <c r="L29" i="9" s="1"/>
  <c r="O6" i="7"/>
  <c r="I29" i="9" s="1"/>
  <c r="O5" i="7"/>
  <c r="H29" i="9" s="1"/>
  <c r="L6" i="7"/>
  <c r="E29" i="9" s="1"/>
  <c r="L7" i="7"/>
  <c r="F29" i="9" s="1"/>
  <c r="H5" i="6"/>
  <c r="H8" i="6"/>
  <c r="H7" i="6"/>
  <c r="H6" i="6"/>
  <c r="F4" i="3"/>
  <c r="E4" i="3"/>
  <c r="H18" i="3" l="1"/>
  <c r="I15" i="3"/>
  <c r="D29" i="8"/>
  <c r="F28" i="8"/>
  <c r="G28" i="8" s="1"/>
  <c r="P31" i="9" s="1"/>
  <c r="I20" i="3"/>
  <c r="M4" i="9" s="1"/>
  <c r="I12" i="3"/>
  <c r="H4" i="9" s="1"/>
  <c r="I16" i="3"/>
  <c r="H13" i="1"/>
  <c r="I13" i="1" s="1"/>
  <c r="J9" i="9" s="1"/>
  <c r="H15" i="1"/>
  <c r="H6" i="8"/>
  <c r="I6" i="8" s="1"/>
  <c r="E33" i="9" s="1"/>
  <c r="H7" i="8"/>
  <c r="H5" i="8"/>
  <c r="D32" i="9" s="1"/>
  <c r="I14" i="3"/>
  <c r="I13" i="3"/>
  <c r="I4" i="9" s="1"/>
  <c r="L7" i="10"/>
  <c r="X7" i="10" s="1"/>
  <c r="Z7" i="10" s="1"/>
  <c r="H11" i="8"/>
  <c r="H15" i="8" s="1"/>
  <c r="K32" i="9" s="1"/>
  <c r="I8" i="8"/>
  <c r="G33" i="9" s="1"/>
  <c r="F11" i="10" s="1"/>
  <c r="G11" i="10" s="1"/>
  <c r="G32" i="9"/>
  <c r="E11" i="10" s="1"/>
  <c r="I7" i="8"/>
  <c r="F33" i="9" s="1"/>
  <c r="F32" i="9"/>
  <c r="I22" i="3"/>
  <c r="H24" i="3"/>
  <c r="N24" i="9"/>
  <c r="I5" i="6"/>
  <c r="D25" i="9" s="1"/>
  <c r="D24" i="9"/>
  <c r="R24" i="9"/>
  <c r="M24" i="9"/>
  <c r="Q24" i="9"/>
  <c r="O24" i="9"/>
  <c r="O9" i="10" s="1"/>
  <c r="S24" i="9"/>
  <c r="T9" i="10" s="1"/>
  <c r="L24" i="9"/>
  <c r="H13" i="6"/>
  <c r="I13" i="6" s="1"/>
  <c r="J25" i="9" s="1"/>
  <c r="K24" i="9"/>
  <c r="I24" i="9"/>
  <c r="I8" i="6"/>
  <c r="G25" i="9" s="1"/>
  <c r="F9" i="10" s="1"/>
  <c r="G9" i="10" s="1"/>
  <c r="X9" i="10" s="1"/>
  <c r="Z9" i="10" s="1"/>
  <c r="G24" i="9"/>
  <c r="E9" i="10" s="1"/>
  <c r="I7" i="6"/>
  <c r="F25" i="9" s="1"/>
  <c r="F24" i="9"/>
  <c r="H24" i="9"/>
  <c r="R8" i="9"/>
  <c r="H11" i="1"/>
  <c r="H14" i="1"/>
  <c r="K8" i="9" s="1"/>
  <c r="P8" i="9"/>
  <c r="L8" i="9"/>
  <c r="H12" i="1"/>
  <c r="I12" i="1" s="1"/>
  <c r="I9" i="9" s="1"/>
  <c r="I27" i="1"/>
  <c r="S9" i="9" s="1"/>
  <c r="U5" i="10" s="1"/>
  <c r="V5" i="10" s="1"/>
  <c r="S8" i="9"/>
  <c r="T5" i="10" s="1"/>
  <c r="I25" i="1"/>
  <c r="Q9" i="9" s="1"/>
  <c r="Q8" i="9"/>
  <c r="I21" i="1"/>
  <c r="O9" i="9" s="1"/>
  <c r="P5" i="10" s="1"/>
  <c r="Q5" i="10" s="1"/>
  <c r="O8" i="9"/>
  <c r="O5" i="10" s="1"/>
  <c r="I19" i="1"/>
  <c r="M9" i="9" s="1"/>
  <c r="M8" i="9"/>
  <c r="I14" i="1"/>
  <c r="K9" i="9" s="1"/>
  <c r="G25" i="3"/>
  <c r="H25" i="3" s="1"/>
  <c r="J14" i="3"/>
  <c r="J5" i="9" s="1"/>
  <c r="J4" i="9"/>
  <c r="J15" i="3"/>
  <c r="K5" i="9" s="1"/>
  <c r="K4" i="9"/>
  <c r="J13" i="3"/>
  <c r="I5" i="9" s="1"/>
  <c r="I6" i="6"/>
  <c r="E25" i="9" s="1"/>
  <c r="E24" i="9"/>
  <c r="G4" i="3"/>
  <c r="H4" i="3" s="1"/>
  <c r="I7" i="3" s="1"/>
  <c r="R8" i="7"/>
  <c r="O29" i="9" s="1"/>
  <c r="P10" i="10" s="1"/>
  <c r="Q10" i="10" s="1"/>
  <c r="R7" i="7"/>
  <c r="N29" i="9" s="1"/>
  <c r="O7" i="7"/>
  <c r="J29" i="9" s="1"/>
  <c r="O8" i="7"/>
  <c r="K29" i="9" s="1"/>
  <c r="L10" i="10" s="1"/>
  <c r="L8" i="7"/>
  <c r="G29" i="9" s="1"/>
  <c r="F10" i="10" s="1"/>
  <c r="G10" i="10" s="1"/>
  <c r="J8" i="9" l="1"/>
  <c r="I19" i="3"/>
  <c r="I21" i="3"/>
  <c r="J20" i="3"/>
  <c r="I8" i="3"/>
  <c r="J12" i="3"/>
  <c r="H5" i="9" s="1"/>
  <c r="I15" i="1"/>
  <c r="K5" i="10" s="1"/>
  <c r="L5" i="10" s="1"/>
  <c r="J5" i="10"/>
  <c r="J4" i="10"/>
  <c r="J16" i="3"/>
  <c r="K4" i="10" s="1"/>
  <c r="D30" i="8"/>
  <c r="F29" i="8"/>
  <c r="G29" i="8" s="1"/>
  <c r="Q31" i="9" s="1"/>
  <c r="J24" i="9"/>
  <c r="I5" i="8"/>
  <c r="D33" i="9" s="1"/>
  <c r="E32" i="9"/>
  <c r="H14" i="8"/>
  <c r="J32" i="9" s="1"/>
  <c r="H13" i="8"/>
  <c r="I13" i="8" s="1"/>
  <c r="I33" i="9" s="1"/>
  <c r="I6" i="3"/>
  <c r="E4" i="9" s="1"/>
  <c r="X10" i="10"/>
  <c r="Z10" i="10" s="1"/>
  <c r="I14" i="8"/>
  <c r="J33" i="9" s="1"/>
  <c r="I15" i="8"/>
  <c r="K33" i="9" s="1"/>
  <c r="H20" i="8"/>
  <c r="H12" i="8"/>
  <c r="I5" i="3"/>
  <c r="J5" i="3" s="1"/>
  <c r="I25" i="3"/>
  <c r="J22" i="3"/>
  <c r="O5" i="9" s="1"/>
  <c r="P4" i="10" s="1"/>
  <c r="O4" i="9"/>
  <c r="O4" i="10" s="1"/>
  <c r="I11" i="1"/>
  <c r="H9" i="9" s="1"/>
  <c r="H8" i="9"/>
  <c r="I8" i="9"/>
  <c r="P3" i="9"/>
  <c r="G26" i="3"/>
  <c r="H26" i="3" s="1"/>
  <c r="I26" i="3" s="1"/>
  <c r="G4" i="9"/>
  <c r="E4" i="10" s="1"/>
  <c r="J8" i="3"/>
  <c r="G5" i="9" s="1"/>
  <c r="F4" i="10" s="1"/>
  <c r="F4" i="9"/>
  <c r="J7" i="3"/>
  <c r="F5" i="9" s="1"/>
  <c r="J6" i="3"/>
  <c r="E5" i="9" s="1"/>
  <c r="C3" i="9"/>
  <c r="H5" i="1"/>
  <c r="J19" i="3" l="1"/>
  <c r="L5" i="9" s="1"/>
  <c r="L4" i="9"/>
  <c r="J21" i="3"/>
  <c r="N5" i="9" s="1"/>
  <c r="N4" i="9"/>
  <c r="D31" i="8"/>
  <c r="F31" i="8" s="1"/>
  <c r="G31" i="8" s="1"/>
  <c r="S31" i="9" s="1"/>
  <c r="F30" i="8"/>
  <c r="G30" i="8" s="1"/>
  <c r="R31" i="9" s="1"/>
  <c r="I32" i="9"/>
  <c r="H27" i="8"/>
  <c r="H22" i="8"/>
  <c r="H24" i="8"/>
  <c r="H23" i="8"/>
  <c r="H21" i="8"/>
  <c r="H32" i="9"/>
  <c r="I12" i="8"/>
  <c r="H33" i="9" s="1"/>
  <c r="D4" i="9"/>
  <c r="D5" i="9"/>
  <c r="I5" i="1"/>
  <c r="D9" i="9" s="1"/>
  <c r="D8" i="9"/>
  <c r="Q3" i="9"/>
  <c r="G28" i="3"/>
  <c r="H28" i="3" s="1"/>
  <c r="I28" i="3" s="1"/>
  <c r="G27" i="3"/>
  <c r="H27" i="3" s="1"/>
  <c r="I27" i="3" s="1"/>
  <c r="H8" i="1"/>
  <c r="H6" i="1"/>
  <c r="H7" i="1"/>
  <c r="I23" i="8" l="1"/>
  <c r="N33" i="9" s="1"/>
  <c r="N32" i="9"/>
  <c r="M32" i="9"/>
  <c r="I22" i="8"/>
  <c r="M33" i="9" s="1"/>
  <c r="L32" i="9"/>
  <c r="I21" i="8"/>
  <c r="L33" i="9" s="1"/>
  <c r="O32" i="9"/>
  <c r="O11" i="10" s="1"/>
  <c r="I24" i="8"/>
  <c r="O33" i="9" s="1"/>
  <c r="P11" i="10" s="1"/>
  <c r="H29" i="8"/>
  <c r="H31" i="8"/>
  <c r="H30" i="8"/>
  <c r="H28" i="8"/>
  <c r="I6" i="1"/>
  <c r="E9" i="9" s="1"/>
  <c r="E8" i="9"/>
  <c r="I7" i="1"/>
  <c r="F9" i="9" s="1"/>
  <c r="F8" i="9"/>
  <c r="I8" i="1"/>
  <c r="G9" i="9" s="1"/>
  <c r="F5" i="10" s="1"/>
  <c r="G8" i="9"/>
  <c r="E5" i="10" s="1"/>
  <c r="R3" i="9"/>
  <c r="S3" i="9"/>
  <c r="P4" i="9"/>
  <c r="S4" i="9"/>
  <c r="T4" i="10" s="1"/>
  <c r="Q4" i="9"/>
  <c r="J27" i="3"/>
  <c r="R5" i="9" s="1"/>
  <c r="U4" i="10" s="1"/>
  <c r="J25" i="3"/>
  <c r="P5" i="9" s="1"/>
  <c r="G5" i="10" l="1"/>
  <c r="F12" i="10"/>
  <c r="Q11" i="10"/>
  <c r="P12" i="10"/>
  <c r="P32" i="9"/>
  <c r="I28" i="8"/>
  <c r="P33" i="9" s="1"/>
  <c r="I31" i="8"/>
  <c r="S33" i="9" s="1"/>
  <c r="U11" i="10" s="1"/>
  <c r="V11" i="10" s="1"/>
  <c r="S32" i="9"/>
  <c r="T11" i="10" s="1"/>
  <c r="I30" i="8"/>
  <c r="R33" i="9" s="1"/>
  <c r="R32" i="9"/>
  <c r="Q32" i="9"/>
  <c r="I29" i="8"/>
  <c r="Q33" i="9" s="1"/>
  <c r="R4" i="9"/>
  <c r="J28" i="3"/>
  <c r="S5" i="9" s="1"/>
  <c r="J26" i="3"/>
  <c r="Q5" i="9" s="1"/>
  <c r="I12" i="10"/>
  <c r="Y5" i="10"/>
  <c r="U12" i="10" l="1"/>
  <c r="X5" i="10"/>
  <c r="Z5" i="10" s="1"/>
  <c r="W12" i="10"/>
  <c r="G4" i="10"/>
  <c r="G12" i="10" s="1"/>
  <c r="Q4" i="10"/>
  <c r="Q12" i="10" s="1"/>
  <c r="L4" i="10"/>
  <c r="D4" i="10"/>
  <c r="V4" i="10"/>
  <c r="X4" i="10" l="1"/>
  <c r="D12" i="10"/>
  <c r="Y4" i="10"/>
  <c r="Y12" i="10" s="1"/>
  <c r="V12" i="10"/>
  <c r="Z4" i="10" l="1"/>
  <c r="F16" i="8" l="1"/>
  <c r="G16" i="8" s="1"/>
  <c r="F10" i="8"/>
  <c r="G10" i="8" s="1"/>
  <c r="H10" i="8" s="1"/>
  <c r="I10" i="8" s="1"/>
  <c r="J11" i="10" l="1"/>
  <c r="I16" i="8"/>
  <c r="K11" i="10" s="1"/>
  <c r="L11" i="10" l="1"/>
  <c r="K12" i="10"/>
  <c r="X11" i="10" l="1"/>
  <c r="L12" i="10"/>
  <c r="Z11" i="10" l="1"/>
  <c r="Z12" i="10" s="1"/>
  <c r="X12" i="10"/>
  <c r="Z1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Cesar López</author>
    <author>STSS001</author>
  </authors>
  <commentList>
    <comment ref="J5" authorId="0" shapeId="0" xr:uid="{00000000-0006-0000-0000-000001000000}">
      <text>
        <r>
          <rPr>
            <b/>
            <sz val="9"/>
            <color indexed="81"/>
            <rFont val="Tahoma"/>
            <family val="2"/>
          </rPr>
          <t>Cesar López:</t>
        </r>
        <r>
          <rPr>
            <sz val="9"/>
            <color indexed="81"/>
            <rFont val="Tahoma"/>
            <family val="2"/>
          </rPr>
          <t xml:space="preserve">
Esta fórmula asigna el mismo porcentaje cuando está entre 50 y 100%; si es más de 100% lo deja en 100%</t>
        </r>
      </text>
    </comment>
    <comment ref="F16" authorId="1" shapeId="0" xr:uid="{00000000-0006-0000-0000-000002000000}">
      <text>
        <r>
          <rPr>
            <b/>
            <sz val="9"/>
            <color indexed="81"/>
            <rFont val="Tahoma"/>
            <family val="2"/>
          </rPr>
          <t>STSS001:</t>
        </r>
        <r>
          <rPr>
            <sz val="9"/>
            <color indexed="81"/>
            <rFont val="Tahoma"/>
            <family val="2"/>
          </rPr>
          <t xml:space="preserve">
en la tabla del anexo 6A, no aparece la columna de años, y además aparece una línea adicional (2005-2019), que creemos es el dato del 2020, pero en el título de la tabla se menciona que solamente hay datos hasta el año 2019</t>
        </r>
      </text>
    </comment>
    <comment ref="J16" authorId="1" shapeId="0" xr:uid="{00000000-0006-0000-0000-000003000000}">
      <text>
        <r>
          <rPr>
            <b/>
            <sz val="9"/>
            <color indexed="10"/>
            <rFont val="Tahoma"/>
            <family val="2"/>
          </rPr>
          <t>STSS001:
PORCENTAJE DE PAGO: 0.00%
HUBO UN DESCENSO EN EL INDICADOR, NO SE LOGRÓ EL CRECIMIENTO PLANIFICADO.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F15" authorId="0" shapeId="0" xr:uid="{00000000-0006-0000-0100-000001000000}">
      <text>
        <r>
          <rPr>
            <b/>
            <sz val="9"/>
            <color indexed="81"/>
            <rFont val="Tahoma"/>
            <family val="2"/>
          </rPr>
          <t>STSS001:</t>
        </r>
        <r>
          <rPr>
            <sz val="9"/>
            <color indexed="81"/>
            <rFont val="Tahoma"/>
            <family val="2"/>
          </rPr>
          <t xml:space="preserve">
se calcula contra el número de trabajadores asalariados que teníamos en 2018, que se lee en la celda E4, da 45.9%</t>
        </r>
      </text>
    </comment>
    <comment ref="I15" authorId="0" shapeId="0" xr:uid="{00000000-0006-0000-0100-000002000000}">
      <text>
        <r>
          <rPr>
            <b/>
            <sz val="9"/>
            <color indexed="10"/>
            <rFont val="Tahoma"/>
            <family val="2"/>
          </rPr>
          <t>STSS001:
PORCENTAJE DE PAGO: 100%
SE LOGRÓ EL CRECIMIENTO MÍNIMO PLANIFICADO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G15" authorId="0" shapeId="0" xr:uid="{00000000-0006-0000-0200-000001000000}">
      <text>
        <r>
          <rPr>
            <b/>
            <sz val="9"/>
            <color indexed="81"/>
            <rFont val="Tahoma"/>
            <family val="2"/>
          </rPr>
          <t>STSS001:</t>
        </r>
        <r>
          <rPr>
            <sz val="9"/>
            <color indexed="81"/>
            <rFont val="Tahoma"/>
            <family val="2"/>
          </rPr>
          <t xml:space="preserve">
Se logró el objetivo para el año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K15" authorId="0" shapeId="0" xr:uid="{00000000-0006-0000-0300-000001000000}">
      <text>
        <r>
          <rPr>
            <b/>
            <sz val="9"/>
            <color indexed="10"/>
            <rFont val="Tahoma"/>
            <family val="2"/>
          </rPr>
          <t>STSS001:
PORCENTAJE DE PAGO: 100%
SE LOGRÓ EL CRECIMIENTO MÍNIMO PLANIFICADO</t>
        </r>
      </text>
    </comment>
    <comment ref="J23" authorId="0" shapeId="0" xr:uid="{00000000-0006-0000-0300-000002000000}">
      <text>
        <r>
          <rPr>
            <b/>
            <sz val="9"/>
            <color indexed="81"/>
            <rFont val="Tahoma"/>
            <family val="2"/>
          </rPr>
          <t>STSS001:</t>
        </r>
        <r>
          <rPr>
            <sz val="9"/>
            <color indexed="81"/>
            <rFont val="Tahoma"/>
            <family val="2"/>
          </rPr>
          <t xml:space="preserve">
10,000 ahora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F16" authorId="0" shapeId="0" xr:uid="{00000000-0006-0000-0500-000001000000}">
      <text>
        <r>
          <rPr>
            <b/>
            <sz val="9"/>
            <color indexed="81"/>
            <rFont val="Tahoma"/>
            <family val="2"/>
          </rPr>
          <t>STSS001:</t>
        </r>
        <r>
          <rPr>
            <sz val="9"/>
            <color indexed="81"/>
            <rFont val="Tahoma"/>
            <family val="2"/>
          </rPr>
          <t xml:space="preserve">
El crecimiento esperado o meta era de 24.00%</t>
        </r>
      </text>
    </comment>
    <comment ref="I16" authorId="0" shapeId="0" xr:uid="{00000000-0006-0000-0500-000002000000}">
      <text>
        <r>
          <rPr>
            <b/>
            <sz val="9"/>
            <color indexed="81"/>
            <rFont val="Tahoma"/>
            <family val="2"/>
          </rPr>
          <t>STSS001:</t>
        </r>
        <r>
          <rPr>
            <sz val="9"/>
            <color indexed="81"/>
            <rFont val="Tahoma"/>
            <family val="2"/>
          </rPr>
          <t xml:space="preserve">
Sí se logró la meta.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O9" authorId="0" shapeId="0" xr:uid="{00000000-0006-0000-0600-000001000000}">
      <text>
        <r>
          <rPr>
            <b/>
            <sz val="9"/>
            <color indexed="10"/>
            <rFont val="Tahoma"/>
            <family val="2"/>
          </rPr>
          <t>STSS001:
PORCENTAJE DE PAGO
LAS 7 REGIONALES SOLICITADAS RINDIERON PRODUCCIÓN. VER CUADROS ABAJO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D3" authorId="0" shapeId="0" xr:uid="{00000000-0006-0000-0700-000001000000}">
      <text>
        <r>
          <rPr>
            <b/>
            <sz val="9"/>
            <color indexed="81"/>
            <rFont val="Tahoma"/>
            <family val="2"/>
          </rPr>
          <t>STSS001:</t>
        </r>
        <r>
          <rPr>
            <sz val="9"/>
            <color indexed="81"/>
            <rFont val="Tahoma"/>
            <family val="2"/>
          </rPr>
          <t xml:space="preserve">
PRESUPUESTO STSS</t>
        </r>
      </text>
    </comment>
    <comment ref="E3" authorId="0" shapeId="0" xr:uid="{00000000-0006-0000-0700-000002000000}">
      <text>
        <r>
          <rPr>
            <b/>
            <sz val="9"/>
            <color indexed="81"/>
            <rFont val="Tahoma"/>
            <family val="2"/>
          </rPr>
          <t>STSS001:</t>
        </r>
        <r>
          <rPr>
            <sz val="9"/>
            <color indexed="81"/>
            <rFont val="Tahoma"/>
            <family val="2"/>
          </rPr>
          <t xml:space="preserve">
PRESUPUESTO TOTAL DEL GOBIERNO</t>
        </r>
      </text>
    </comment>
    <comment ref="E4" authorId="0" shapeId="0" xr:uid="{00000000-0006-0000-0700-000003000000}">
      <text>
        <r>
          <rPr>
            <b/>
            <sz val="9"/>
            <color indexed="81"/>
            <rFont val="Tahoma"/>
            <family val="2"/>
          </rPr>
          <t>STSS001:</t>
        </r>
        <r>
          <rPr>
            <sz val="9"/>
            <color indexed="81"/>
            <rFont val="Tahoma"/>
            <family val="2"/>
          </rPr>
          <t xml:space="preserve">
dato de 2018, SEFIN</t>
        </r>
      </text>
    </comment>
    <comment ref="E10" authorId="0" shapeId="0" xr:uid="{00000000-0006-0000-0700-000004000000}">
      <text>
        <r>
          <rPr>
            <b/>
            <sz val="9"/>
            <color indexed="81"/>
            <rFont val="Tahoma"/>
            <family val="2"/>
          </rPr>
          <t>STSS001:</t>
        </r>
        <r>
          <rPr>
            <sz val="9"/>
            <color indexed="81"/>
            <rFont val="Tahoma"/>
            <family val="2"/>
          </rPr>
          <t xml:space="preserve">
dato de 2019, SEFIN</t>
        </r>
      </text>
    </comment>
    <comment ref="I10" authorId="0" shapeId="0" xr:uid="{00000000-0006-0000-0700-000005000000}">
      <text>
        <r>
          <rPr>
            <b/>
            <sz val="9"/>
            <color indexed="10"/>
            <rFont val="Tahoma"/>
            <family val="2"/>
          </rPr>
          <t>STSS001:
PORCENTAJE DE PAGO: 0%
NO SE LOGRÓ EL CRECIMIENTO MÍNIMO PLANIFICADO</t>
        </r>
      </text>
    </comment>
    <comment ref="E16" authorId="0" shapeId="0" xr:uid="{00000000-0006-0000-0700-000006000000}">
      <text>
        <r>
          <rPr>
            <b/>
            <sz val="9"/>
            <color indexed="81"/>
            <rFont val="Tahoma"/>
            <family val="2"/>
          </rPr>
          <t>STSS001:</t>
        </r>
        <r>
          <rPr>
            <sz val="9"/>
            <color indexed="81"/>
            <rFont val="Tahoma"/>
            <family val="2"/>
          </rPr>
          <t xml:space="preserve">
dato de 2020, SEFIN</t>
        </r>
      </text>
    </comment>
    <comment ref="I16" authorId="0" shapeId="0" xr:uid="{00000000-0006-0000-0700-000007000000}">
      <text>
        <r>
          <rPr>
            <b/>
            <sz val="9"/>
            <color indexed="10"/>
            <rFont val="Tahoma"/>
            <family val="2"/>
          </rPr>
          <t>STSS001:
PORCENTAJE DE PAGO: 100%
SE LOGRÓ EL CRECIMIENTO MÍNIMO PLANIFICADO</t>
        </r>
      </text>
    </comment>
    <comment ref="E45" authorId="0" shapeId="0" xr:uid="{00000000-0006-0000-0700-000008000000}">
      <text>
        <r>
          <rPr>
            <b/>
            <sz val="9"/>
            <color indexed="81"/>
            <rFont val="Tahoma"/>
            <family val="2"/>
          </rPr>
          <t>STSS001:</t>
        </r>
        <r>
          <rPr>
            <sz val="9"/>
            <color indexed="81"/>
            <rFont val="Tahoma"/>
            <family val="2"/>
          </rPr>
          <t xml:space="preserve">
Datos obtenidos de informe de SEFIN: "Informe de Liquidación del Presupuesto 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STSS001</author>
  </authors>
  <commentList>
    <comment ref="C11" authorId="0" shapeId="0" xr:uid="{00000000-0006-0000-0800-000001000000}">
      <text>
        <r>
          <rPr>
            <b/>
            <sz val="9"/>
            <color indexed="81"/>
            <rFont val="Tahoma"/>
            <family val="2"/>
          </rPr>
          <t>STSS001:</t>
        </r>
        <r>
          <rPr>
            <sz val="9"/>
            <color indexed="81"/>
            <rFont val="Tahoma"/>
            <family val="2"/>
          </rPr>
          <t xml:space="preserve">
Dato transcrito
cambiar a fórmula
</t>
        </r>
      </text>
    </comment>
    <comment ref="C15" authorId="0" shapeId="0" xr:uid="{00000000-0006-0000-0800-000002000000}">
      <text>
        <r>
          <rPr>
            <b/>
            <sz val="9"/>
            <color indexed="81"/>
            <rFont val="Tahoma"/>
            <family val="2"/>
          </rPr>
          <t>STSS001:</t>
        </r>
        <r>
          <rPr>
            <sz val="9"/>
            <color indexed="81"/>
            <rFont val="Tahoma"/>
            <family val="2"/>
          </rPr>
          <t xml:space="preserve">
Dato transcrito. Cambiar a fórmula
</t>
        </r>
      </text>
    </comment>
    <comment ref="C19" authorId="0" shapeId="0" xr:uid="{00000000-0006-0000-0800-000003000000}">
      <text>
        <r>
          <rPr>
            <b/>
            <sz val="9"/>
            <color indexed="81"/>
            <rFont val="Tahoma"/>
            <family val="2"/>
          </rPr>
          <t>STSS001:</t>
        </r>
        <r>
          <rPr>
            <sz val="9"/>
            <color indexed="81"/>
            <rFont val="Tahoma"/>
            <family val="2"/>
          </rPr>
          <t xml:space="preserve">
no tiene base!!! 
Poner ='ind 5'!$e4
</t>
        </r>
      </text>
    </comment>
    <comment ref="C27" authorId="0" shapeId="0" xr:uid="{00000000-0006-0000-0800-000004000000}">
      <text>
        <r>
          <rPr>
            <b/>
            <sz val="9"/>
            <color indexed="81"/>
            <rFont val="Tahoma"/>
            <family val="2"/>
          </rPr>
          <t>STSS001:</t>
        </r>
        <r>
          <rPr>
            <sz val="9"/>
            <color indexed="81"/>
            <rFont val="Tahoma"/>
            <family val="2"/>
          </rPr>
          <t xml:space="preserve">
no tiene base!!!
Poner ='ind 7'!$i$4
</t>
        </r>
      </text>
    </comment>
    <comment ref="C29" authorId="0" shapeId="0" xr:uid="{00000000-0006-0000-0800-000005000000}">
      <text>
        <r>
          <rPr>
            <b/>
            <sz val="9"/>
            <color indexed="81"/>
            <rFont val="Tahoma"/>
            <family val="2"/>
          </rPr>
          <t>STSS001:</t>
        </r>
        <r>
          <rPr>
            <sz val="9"/>
            <color indexed="81"/>
            <rFont val="Tahoma"/>
            <family val="2"/>
          </rPr>
          <t xml:space="preserve">
toda la estructura está movida</t>
        </r>
      </text>
    </comment>
  </commentList>
</comments>
</file>

<file path=xl/sharedStrings.xml><?xml version="1.0" encoding="utf-8"?>
<sst xmlns="http://schemas.openxmlformats.org/spreadsheetml/2006/main" count="766" uniqueCount="432">
  <si>
    <t>Matriz de Seguimiento de los indicadores de EUROEMPLEO</t>
  </si>
  <si>
    <t>Población con empleo pleno</t>
  </si>
  <si>
    <t>Observatorio del Mercado Laboral de la  Secretaria de Trabajo y Seguridad Social</t>
  </si>
  <si>
    <t>Entidad Responsable</t>
  </si>
  <si>
    <t>Formual Base</t>
  </si>
  <si>
    <t>OT: Ocupados Totales</t>
  </si>
  <si>
    <t>SV: Sub empleo visible</t>
  </si>
  <si>
    <t>SI: sub empleo invisible</t>
  </si>
  <si>
    <t xml:space="preserve">n: año </t>
  </si>
  <si>
    <t>EP: Empleo pleno</t>
  </si>
  <si>
    <t>Línea de Base</t>
  </si>
  <si>
    <t>2018: Línea de Base (%)</t>
  </si>
  <si>
    <t>Desempeño</t>
  </si>
  <si>
    <t>T1: Julio - Septiembre</t>
  </si>
  <si>
    <t>T2: Octubre Diciembre</t>
  </si>
  <si>
    <t>T3: Enero - Marzo</t>
  </si>
  <si>
    <t>T4: Abril Junio</t>
  </si>
  <si>
    <t>Monitoreo/Desempeño</t>
  </si>
  <si>
    <t>2019: meta</t>
  </si>
  <si>
    <t>2020: meta</t>
  </si>
  <si>
    <t xml:space="preserve">Donde </t>
  </si>
  <si>
    <t xml:space="preserve">I1 = % de Pago </t>
  </si>
  <si>
    <t>a   = % EP alcanzado en el año de medición</t>
  </si>
  <si>
    <t>am = % EP meta del año de medición</t>
  </si>
  <si>
    <r>
      <t>a</t>
    </r>
    <r>
      <rPr>
        <vertAlign val="superscript"/>
        <sz val="8"/>
        <color theme="1"/>
        <rFont val="Times New Roman"/>
        <family val="1"/>
      </rPr>
      <t>-1</t>
    </r>
    <r>
      <rPr>
        <sz val="8"/>
        <color theme="1"/>
        <rFont val="Times New Roman"/>
        <family val="1"/>
      </rPr>
      <t xml:space="preserve"> = % EP alcanzado en el año anterior al año de medición</t>
    </r>
  </si>
  <si>
    <t>% de Pago</t>
  </si>
  <si>
    <t>Persona responsable del Monitoreo: Cándido Ordoñez</t>
  </si>
  <si>
    <t>Nota1: SCGG debe asegurar la coordinación con el INE para garantizar el acceso del Observatorio de Mercado Laboral a la información trimestral.</t>
  </si>
  <si>
    <t>Nota 2: Si el desempeño del trimestre es inferior al 25 de la meta, se deben tomar con urgencia las medidas correctivas en coordinación de todos los actores (SCGG, OML de la STSS, La delegación de la UE y AT)</t>
  </si>
  <si>
    <t>2021: meta</t>
  </si>
  <si>
    <t>Indicador 1</t>
  </si>
  <si>
    <t>Indicador 2</t>
  </si>
  <si>
    <t>Formula Base</t>
  </si>
  <si>
    <t>Indicador 3</t>
  </si>
  <si>
    <t>Marco regulatorio del Sistema Nacional de Formación Profesional revisado y fortalecido</t>
  </si>
  <si>
    <t>Instituto Nacional de Formación Profesional / Secretaría de Trabajo y Seguridad Social</t>
  </si>
  <si>
    <t>Cumplimiento de hitos</t>
  </si>
  <si>
    <t>T1: Enero a Marzo</t>
  </si>
  <si>
    <t>T2: Abril a Junio</t>
  </si>
  <si>
    <t>T4: Octubre a Diciembre</t>
  </si>
  <si>
    <t>T3: Julio a Septiembre</t>
  </si>
  <si>
    <t>Año 2019</t>
  </si>
  <si>
    <t>Año 2020</t>
  </si>
  <si>
    <t>Año 2021</t>
  </si>
  <si>
    <t>Año 2022</t>
  </si>
  <si>
    <t>Propuesta de Ley o de reforma del Sistema Nacional de Formación Profesional enviada al Congreso</t>
  </si>
  <si>
    <t xml:space="preserve">Definido y aprobado el Catálogo Nacional de Cualificaciones Profesionales  </t>
  </si>
  <si>
    <t>Ejecución de al menos ocho (8) programas formativos y de certificación de competencias adquiridas.</t>
  </si>
  <si>
    <t>Reforma redactada 50 Reforma presentada a Congreso Nacional 100</t>
  </si>
  <si>
    <t>Borrador Reforma</t>
  </si>
  <si>
    <t>Reforma redactada</t>
  </si>
  <si>
    <t>Propuesta de Ley aprobada</t>
  </si>
  <si>
    <t>Remisión Congreso Nacional</t>
  </si>
  <si>
    <t>Borrador Catalogo</t>
  </si>
  <si>
    <t>Propuesta aprobada</t>
  </si>
  <si>
    <t>Enviada al ejecutivo</t>
  </si>
  <si>
    <t>Cualificación aprobada 50 Cualificacion remitida ejecutivo 100</t>
  </si>
  <si>
    <t>2 programas</t>
  </si>
  <si>
    <t>12,5% por programa</t>
  </si>
  <si>
    <t>2022: meta</t>
  </si>
  <si>
    <t>Indicador 4</t>
  </si>
  <si>
    <t xml:space="preserve">Persona responsable del Monitoreo: </t>
  </si>
  <si>
    <t>Porcentaje de población formada y certificada en el Sistema Nacional de Formación Profesional</t>
  </si>
  <si>
    <t>Nota1: El indicador está disponible en abril del cada año. Es decir en abril 2019 se publica la información correspondiente al año 2018.</t>
  </si>
  <si>
    <t>Número absoluto</t>
  </si>
  <si>
    <t xml:space="preserve">       </t>
  </si>
  <si>
    <t>I4 = % de Pago (mínimo 50 máximo 100)</t>
  </si>
  <si>
    <t>c   = Personas efectivamente capacitadas en el año de medición</t>
  </si>
  <si>
    <t>cm = meta de personal efectivamente capacitadas del año de medición</t>
  </si>
  <si>
    <t>Aprobación por CES oferta formativa</t>
  </si>
  <si>
    <t>Preparacion propuesta</t>
  </si>
  <si>
    <t>Preparacion ofertas formativas</t>
  </si>
  <si>
    <t>Aprobación CES</t>
  </si>
  <si>
    <t>Borrador documento final</t>
  </si>
  <si>
    <t>Indicador 5</t>
  </si>
  <si>
    <t xml:space="preserve">Nivel de avance en la simplificación de los procesos de registro y operación de las MiPYME. </t>
  </si>
  <si>
    <t>Coordinación General de Gobierno y Secretaría de Desarrollo Económico</t>
  </si>
  <si>
    <t xml:space="preserve">  Diagnóstico  y la  ingeniería  de  Procesos elaborado</t>
  </si>
  <si>
    <t xml:space="preserve">Construcción del plan de acción </t>
  </si>
  <si>
    <t xml:space="preserve">Implementación de plan de acción </t>
  </si>
  <si>
    <t>Oficio entrega Jerarquización 50%  Oficio entrega Cualificación 50%</t>
  </si>
  <si>
    <t>Aprobada propuesta jerarquizaciòn</t>
  </si>
  <si>
    <t>Aprobada propuesta calificación</t>
  </si>
  <si>
    <t>Idenfiticación de trámites presentados al Ejecutivo por el CES</t>
  </si>
  <si>
    <t>Discusión en CES</t>
  </si>
  <si>
    <t>Aprobacion en CES</t>
  </si>
  <si>
    <t>Remisión por CES al ejecutivo</t>
  </si>
  <si>
    <t>Preparada propuesta cualificacion</t>
  </si>
  <si>
    <t>Preparada propuesta jerarquización</t>
  </si>
  <si>
    <t>Propuesta plan de Accion</t>
  </si>
  <si>
    <t>aprobacion plan de acciçón</t>
  </si>
  <si>
    <t>Elaboración manuales y guias</t>
  </si>
  <si>
    <t>Oficio de entrega del ejcutivo al CES</t>
  </si>
  <si>
    <t>Oficio entrega informe ejecutivo al CES 100</t>
  </si>
  <si>
    <t>Preparacion infome Ejecutivo al CES</t>
  </si>
  <si>
    <t>Preparacion informe CES al Ejecutivo</t>
  </si>
  <si>
    <t>Entrega informe Ejecutio al CES</t>
  </si>
  <si>
    <t>Entrega informe CES al Ejecutivo</t>
  </si>
  <si>
    <t>Oficio entrega Ejecutivo al CES 50%  Oficio entrega CES al Ejecutivo 50%</t>
  </si>
  <si>
    <t>I2 = % de Pago (máximo 100)</t>
  </si>
  <si>
    <t>b   = % TS alcanzado en el año de medición</t>
  </si>
  <si>
    <r>
      <t>b</t>
    </r>
    <r>
      <rPr>
        <vertAlign val="superscript"/>
        <sz val="8"/>
        <color theme="1"/>
        <rFont val="Times New Roman"/>
        <family val="1"/>
      </rPr>
      <t>-1</t>
    </r>
    <r>
      <rPr>
        <sz val="8"/>
        <color theme="1"/>
        <rFont val="Times New Roman"/>
        <family val="1"/>
      </rPr>
      <t xml:space="preserve"> = % TS alcanzado en el año anterior al año de medición</t>
    </r>
  </si>
  <si>
    <t xml:space="preserve">  %TS = </t>
  </si>
  <si>
    <t>TS Trabajadores con seguridad social</t>
  </si>
  <si>
    <t>TA Trabajadores asalariados</t>
  </si>
  <si>
    <t>TS/TA Proporcion de asalariados con seguridad social</t>
  </si>
  <si>
    <t>Nota1: SCGG debe asegurar el acceso a la información del Observatorio de Mercado Laboral</t>
  </si>
  <si>
    <t>Nota1: SCGG debe asegurar la información del CES.</t>
  </si>
  <si>
    <t>Indicador 6</t>
  </si>
  <si>
    <t>Proporción del monto de créditos directos desembolsados a empresarias.</t>
  </si>
  <si>
    <t>BANHPROVI</t>
  </si>
  <si>
    <t>I6 = % de Pago (mínimo 50 máximo 100)</t>
  </si>
  <si>
    <t>dm = % meta definido para el año de medición</t>
  </si>
  <si>
    <t>d   = % del Monto de créditos en Lempiras para empresarias desembolsados (= %MC) en el año de medición</t>
  </si>
  <si>
    <r>
      <t xml:space="preserve">  %MC</t>
    </r>
    <r>
      <rPr>
        <b/>
        <sz val="9"/>
        <color theme="1"/>
        <rFont val="Times New Roman"/>
        <family val="1"/>
      </rPr>
      <t xml:space="preserve"> = </t>
    </r>
  </si>
  <si>
    <t>MT Monto total de créditos</t>
  </si>
  <si>
    <t>MC Proporcion de créditos de mujeres empresarias en relación a los créditos totales</t>
  </si>
  <si>
    <t>Indicador 7</t>
  </si>
  <si>
    <t>Cobertura Geográfica de los servicios prestados en los Centros de Atención Integral para Buscadores de Empleo y Oportunidades (CEOs)</t>
  </si>
  <si>
    <t>Secretaría de trabajo y Seguridad Social</t>
  </si>
  <si>
    <t>número absoluto</t>
  </si>
  <si>
    <t>CEO</t>
  </si>
  <si>
    <t>Nota1: El programa CEOs reportará su avance trimestralmente</t>
  </si>
  <si>
    <t>Indicador 8</t>
  </si>
  <si>
    <t>Variación en la movilización de recursos del Tesoro Nacional en el financiamiento de los Programas Estratégicos del PEI,  de la Secretaria de Trabajo y Seguridad Social, Secretaria de Desarrollo Económico y Secretaria de Agricultura.</t>
  </si>
  <si>
    <t>Secretaría de Finanzas</t>
  </si>
  <si>
    <t>RNS Recursos Nacionales ejecutados PEI Stss</t>
  </si>
  <si>
    <t>RN Total de recursos Nacionales del SPNF</t>
  </si>
  <si>
    <t>IRN % de incremento RN ejecutados PEI STSS</t>
  </si>
  <si>
    <t>I8 = % de Pago (mínimo 50%, máximo 100%) para el indicador 8</t>
  </si>
  <si>
    <t>e   = % IRN alcanzado en el año de medición</t>
  </si>
  <si>
    <t>em = % IRN meta del año de medición</t>
  </si>
  <si>
    <r>
      <t>e</t>
    </r>
    <r>
      <rPr>
        <vertAlign val="superscript"/>
        <sz val="8"/>
        <color theme="1"/>
        <rFont val="Times New Roman"/>
        <family val="1"/>
      </rPr>
      <t>-1</t>
    </r>
    <r>
      <rPr>
        <sz val="8"/>
        <color theme="1"/>
        <rFont val="Times New Roman"/>
        <family val="1"/>
      </rPr>
      <t xml:space="preserve"> = % IRN alcanzado en el año anterior al año de medición</t>
    </r>
  </si>
  <si>
    <t>Nota1: Las cifras 2018 se definirán una vez se cuente con la liquidación de la ejecución presupuestaria 2018 (Abril 2019). La información trimestral se pondrá poner de la ejecución mensual de SEFIN. Para el último trimestre se deberá esperar la liquidación de la ejecución presupuestaria de cada año</t>
  </si>
  <si>
    <t>EUROEMPLEO</t>
  </si>
  <si>
    <t>T1 2019</t>
  </si>
  <si>
    <t>T2 2019</t>
  </si>
  <si>
    <t>T3 2019</t>
  </si>
  <si>
    <t>T4 2019</t>
  </si>
  <si>
    <t>T1 2020</t>
  </si>
  <si>
    <t>T2 2020</t>
  </si>
  <si>
    <t>T3 2020</t>
  </si>
  <si>
    <t>T4 2020</t>
  </si>
  <si>
    <t>T1 2021</t>
  </si>
  <si>
    <t>T2 2021</t>
  </si>
  <si>
    <t>T3 2021</t>
  </si>
  <si>
    <t>T4 2021</t>
  </si>
  <si>
    <t>T1 2022</t>
  </si>
  <si>
    <t>T2 2022</t>
  </si>
  <si>
    <t>T3 2022</t>
  </si>
  <si>
    <t>T4 2022</t>
  </si>
  <si>
    <t>% de cumplimiento</t>
  </si>
  <si>
    <t>% de desemboso</t>
  </si>
  <si>
    <t>% de desembolso</t>
  </si>
  <si>
    <t>2018 Base</t>
  </si>
  <si>
    <t>Habías puesto la meta, no la meta alcanzada: corregido</t>
  </si>
  <si>
    <t>Formula básica :</t>
  </si>
  <si>
    <t xml:space="preserve">Donde: </t>
  </si>
  <si>
    <t xml:space="preserve">n: año de referencia </t>
  </si>
  <si>
    <t xml:space="preserve">%TS = </t>
  </si>
  <si>
    <t xml:space="preserve">     </t>
  </si>
  <si>
    <t>Donde:</t>
  </si>
  <si>
    <r>
      <rPr>
        <b/>
        <sz val="11"/>
        <color rgb="FF006100"/>
        <rFont val="Calibri"/>
        <family val="2"/>
        <scheme val="minor"/>
      </rPr>
      <t>EP</t>
    </r>
    <r>
      <rPr>
        <sz val="11"/>
        <color rgb="FF006100"/>
        <rFont val="Calibri"/>
        <family val="2"/>
        <scheme val="minor"/>
      </rPr>
      <t xml:space="preserve"> =  % de Empleo Pleno </t>
    </r>
  </si>
  <si>
    <r>
      <rPr>
        <b/>
        <sz val="11"/>
        <color rgb="FF006100"/>
        <rFont val="Calibri"/>
        <family val="2"/>
        <scheme val="minor"/>
      </rPr>
      <t>OT</t>
    </r>
    <r>
      <rPr>
        <sz val="11"/>
        <color rgb="FF006100"/>
        <rFont val="Calibri"/>
        <family val="2"/>
        <scheme val="minor"/>
      </rPr>
      <t xml:space="preserve"> = 100%:  (Número Absoluto de Ocupados Totales)</t>
    </r>
  </si>
  <si>
    <r>
      <rPr>
        <b/>
        <sz val="11"/>
        <color rgb="FF006100"/>
        <rFont val="Calibri"/>
        <family val="2"/>
        <scheme val="minor"/>
      </rPr>
      <t>SV</t>
    </r>
    <r>
      <rPr>
        <sz val="11"/>
        <color rgb="FF006100"/>
        <rFont val="Calibri"/>
        <family val="2"/>
        <scheme val="minor"/>
      </rPr>
      <t xml:space="preserve"> = Porcentaje de subempleo visible en relación a OT</t>
    </r>
  </si>
  <si>
    <r>
      <rPr>
        <b/>
        <sz val="11"/>
        <color rgb="FF006100"/>
        <rFont val="Calibri"/>
        <family val="2"/>
        <scheme val="minor"/>
      </rPr>
      <t>SI</t>
    </r>
    <r>
      <rPr>
        <sz val="11"/>
        <color rgb="FF006100"/>
        <rFont val="Calibri"/>
        <family val="2"/>
        <scheme val="minor"/>
      </rPr>
      <t xml:space="preserve"> = Porcentaje de subempleo invisible en relación a OT</t>
    </r>
  </si>
  <si>
    <r>
      <rPr>
        <b/>
        <sz val="11"/>
        <color rgb="FF006100"/>
        <rFont val="Calibri"/>
        <family val="2"/>
        <scheme val="minor"/>
      </rPr>
      <t>%TS</t>
    </r>
    <r>
      <rPr>
        <sz val="11"/>
        <color rgb="FF006100"/>
        <rFont val="Calibri"/>
        <family val="2"/>
        <scheme val="minor"/>
      </rPr>
      <t>= Proporción de Asalariados Trabajadores con Seguridad Social.</t>
    </r>
  </si>
  <si>
    <r>
      <rPr>
        <b/>
        <sz val="11"/>
        <color rgb="FF006100"/>
        <rFont val="Calibri"/>
        <family val="2"/>
        <scheme val="minor"/>
      </rPr>
      <t>NºTA</t>
    </r>
    <r>
      <rPr>
        <sz val="11"/>
        <color rgb="FF006100"/>
        <rFont val="Calibri"/>
        <family val="2"/>
        <scheme val="minor"/>
      </rPr>
      <t>= Número de Trabajadores Asalariados.</t>
    </r>
  </si>
  <si>
    <r>
      <rPr>
        <b/>
        <sz val="11"/>
        <color rgb="FF006100"/>
        <rFont val="Calibri"/>
        <family val="2"/>
        <scheme val="minor"/>
      </rPr>
      <t>NºTS</t>
    </r>
    <r>
      <rPr>
        <sz val="11"/>
        <color rgb="FF006100"/>
        <rFont val="Calibri"/>
        <family val="2"/>
        <scheme val="minor"/>
      </rPr>
      <t>= Número de Trabajadores con Seguridad Social.</t>
    </r>
  </si>
  <si>
    <t>Proporción de población asalariada inscrita en la Seguridad Social en relación al total de la  población asalariada</t>
  </si>
  <si>
    <t>Idem indicador 1</t>
  </si>
  <si>
    <t xml:space="preserve">MC Monto créditos mujeres empresarias </t>
  </si>
  <si>
    <t>Idem anterior</t>
  </si>
  <si>
    <t xml:space="preserve">Dónde: </t>
  </si>
  <si>
    <t>n= año de referencia</t>
  </si>
  <si>
    <t xml:space="preserve">MC= Monto de créditos en Lempiras para empresarias desembolsados </t>
  </si>
  <si>
    <t>MT= Monto total de créditos en Lempiras desembolsados</t>
  </si>
  <si>
    <t xml:space="preserve"> %MC = </t>
  </si>
  <si>
    <t>Fórmula base</t>
  </si>
  <si>
    <t>Fórmula Base</t>
  </si>
  <si>
    <t>Dónde:</t>
  </si>
  <si>
    <t>n: año de referencia</t>
  </si>
  <si>
    <t>IRN =  % de Incremento de Recursos Nacionales Ejecutados en el PEI de la STSS</t>
  </si>
  <si>
    <t>RNS= Recursos Nacionales Ejecutados en el PEI de la STSS para el año de base (2018)</t>
  </si>
  <si>
    <t>RN=Total de Recursos Nacionales del Sector Público No Financiero Ejecutados</t>
  </si>
  <si>
    <t xml:space="preserve">Formula de base </t>
  </si>
  <si>
    <t>Id indicadores similares</t>
  </si>
  <si>
    <t>Meta 2019</t>
  </si>
  <si>
    <t>Meta 2020</t>
  </si>
  <si>
    <t>Meta 2021</t>
  </si>
  <si>
    <t>Meta 2022</t>
  </si>
  <si>
    <t>Indicador</t>
  </si>
  <si>
    <t>Nombre</t>
  </si>
  <si>
    <t xml:space="preserve">TOTAL </t>
  </si>
  <si>
    <t>Indicador 3: Marco regulador del Sistema Nacional de Formación Profesional revisado y fortalecido.</t>
  </si>
  <si>
    <t>Año de pago: 2020</t>
  </si>
  <si>
    <t>Año de pago: 2021</t>
  </si>
  <si>
    <t>Año de pago: 2022</t>
  </si>
  <si>
    <t>Año de pago: 2023</t>
  </si>
  <si>
    <t>PESO %</t>
  </si>
  <si>
    <t>2020: monto máximo</t>
  </si>
  <si>
    <t>2021: monto máximo</t>
  </si>
  <si>
    <t>2022: monto máximo</t>
  </si>
  <si>
    <t>2023: monto máximo</t>
  </si>
  <si>
    <t>Monto Pagado</t>
  </si>
  <si>
    <t>% Pagado</t>
  </si>
  <si>
    <t>TOTAL PREVISTO</t>
  </si>
  <si>
    <t>TOTAL PAGADO</t>
  </si>
  <si>
    <t>PESO % Previsto</t>
  </si>
  <si>
    <t>% pagado en relación al % pagado</t>
  </si>
  <si>
    <t>% o Nº de la meta alcanzado</t>
  </si>
  <si>
    <t>Resultado Final del Desempeño (en pagos)</t>
  </si>
  <si>
    <t>Poblacion formada y certificada</t>
  </si>
  <si>
    <t>Nota 1: Si el desempeño del trimestre es inferior al 25 de la meta, se deben tomar con urgencia las medidas correctivas en coordinación de todos los actores (SCGG, OML de la STSS, La delegación de la UE y AT)</t>
  </si>
  <si>
    <t>T1: Abril a Junio</t>
  </si>
  <si>
    <t>T2: Julio a Septiembre</t>
  </si>
  <si>
    <t>T3: Octubre a diciembre</t>
  </si>
  <si>
    <t>T4: Enero a marzo</t>
  </si>
  <si>
    <t>Linea de base/meta</t>
  </si>
  <si>
    <t>Nuevo total previsto</t>
  </si>
  <si>
    <t>0*'ind 3'!$e$5</t>
  </si>
  <si>
    <t>Indicador 5: Nivel de avance en la simplifación de los procesos de registro y operación de MiPYME.</t>
  </si>
  <si>
    <t xml:space="preserve">I) formación profesional continua; </t>
  </si>
  <si>
    <t>II aprendizaje en Centro</t>
  </si>
  <si>
    <t xml:space="preserve"> III) Actualización; </t>
  </si>
  <si>
    <t xml:space="preserve">IV) Aprendizaje Dual y </t>
  </si>
  <si>
    <t>V) Habilitación?</t>
  </si>
  <si>
    <t>Número de beneficiarios de los programas de certificación de competencias profesionales. ¿En qué áreas fueron desarrolladas?</t>
  </si>
  <si>
    <t xml:space="preserve">¿Es posible que nos comparta, del total de 238,000 personas que aprobaron cursos en el 2020, cuántos se han certificado, desglosado por las modalidades de formación: </t>
  </si>
  <si>
    <t>Un listado de cursos con los beneficiarios que aprobaron cursos con duración mayor de 16 horas</t>
  </si>
  <si>
    <t>Socialización con ejecutivo</t>
  </si>
  <si>
    <t>1.- link de acceso al documento digital</t>
  </si>
  <si>
    <t>2.- carta dirigida al CES</t>
  </si>
  <si>
    <t>3.- carta enviada de parte de la STSS a la SCGG</t>
  </si>
  <si>
    <t>Medios de verificación</t>
  </si>
  <si>
    <t>INFORMACIÓN DE SOPORTE:</t>
  </si>
  <si>
    <t>Regional</t>
  </si>
  <si>
    <t>Personas inscritas 2020</t>
  </si>
  <si>
    <t>Intermediaciones realizadas 2020</t>
  </si>
  <si>
    <t>Colocados 2020</t>
  </si>
  <si>
    <t>Orientaciones Laborales 2020</t>
  </si>
  <si>
    <t>Talleres brindados 2020</t>
  </si>
  <si>
    <t>Elaboración de CV</t>
  </si>
  <si>
    <t>Impresión de CV</t>
  </si>
  <si>
    <t>Derivaciones Interinstitucionales realizadas 2020</t>
  </si>
  <si>
    <t>Empresas registradas</t>
  </si>
  <si>
    <t>Vacantes Registradas 2020</t>
  </si>
  <si>
    <t>EVALUACIÓN UPEG</t>
  </si>
  <si>
    <t>EVALUACIÓN UPEG: 2020</t>
  </si>
  <si>
    <t>EVALUACIÓN UPEG 2020</t>
  </si>
  <si>
    <t>Fuente: archivo: INDICADORES DE LA SECRETARIA DE TRABAJO 1- 2020.xlsx.pdf</t>
  </si>
  <si>
    <t>CUADRO No. 12</t>
  </si>
  <si>
    <t>NUMERO DE PARTICIPANTES MATRICULADOS Y APROBADOS POR GENERO,</t>
  </si>
  <si>
    <t>SEGÚN MODO Y/O MODALIDAD DE FORMACION</t>
  </si>
  <si>
    <t>APROBADOS</t>
  </si>
  <si>
    <t>TOTAL</t>
  </si>
  <si>
    <t>HOMBRES</t>
  </si>
  <si>
    <t>MUJERES</t>
  </si>
  <si>
    <t>TOTAL DE LA INSTITUCION</t>
  </si>
  <si>
    <t>MODALIDADES DE FORMACIÓN SEGÚN INDICADOR PNEH</t>
  </si>
  <si>
    <t>AGRICOLA</t>
  </si>
  <si>
    <t>APRENDIZAJE EN CENTRO</t>
  </si>
  <si>
    <t>INDUSTRIA</t>
  </si>
  <si>
    <t>TURISMO</t>
  </si>
  <si>
    <t>ACTUALIZACION</t>
  </si>
  <si>
    <t>INGLES</t>
  </si>
  <si>
    <t>ALFABETIZACION DIGITAL</t>
  </si>
  <si>
    <t>VULNERABLE</t>
  </si>
  <si>
    <t>HABILITACION</t>
  </si>
  <si>
    <t>ALIANZAS (CONVENIOS)</t>
  </si>
  <si>
    <t>FPC - FORMACION PROFESIONAL CONTINUA</t>
  </si>
  <si>
    <t>FPC - FORMACION PROFESIONAÑ CONTINUA</t>
  </si>
  <si>
    <t>DESEMPLEADOS</t>
  </si>
  <si>
    <t>EMPLEADOS</t>
  </si>
  <si>
    <t>La ficha solicita:</t>
  </si>
  <si>
    <t>* Desagregación por género</t>
  </si>
  <si>
    <t xml:space="preserve">Modalidades de formación: </t>
  </si>
  <si>
    <t>Formación Profesional Continua (FPC):</t>
  </si>
  <si>
    <t>Aprendizaje en Centro</t>
  </si>
  <si>
    <t>Actualización</t>
  </si>
  <si>
    <t>Aprendizaje Dual</t>
  </si>
  <si>
    <t>Habilitación</t>
  </si>
  <si>
    <t>Año N+1: Número absoluto de formados por el Sistema Nacional de Formación Profesional</t>
  </si>
  <si>
    <t>A partir del año N+1 se informará del número absoluto, desagregado por género de capacitados en el SNFP en los sectores priorizados.</t>
  </si>
  <si>
    <t>El indicador se medirá a partir del Año N + 1.</t>
  </si>
  <si>
    <t>También en el Año N+1 se procederá a elaborar una adenda para fijar la línea de base que permitirá medir el número de trabajadores formados y certificados por el Sistema Nacional de Formación Profesional.</t>
  </si>
  <si>
    <t>Línea de base: No aplica, no hay información desagregada actual de formación por competencias</t>
  </si>
  <si>
    <t>* no aparece por restricciones de la pandemia</t>
  </si>
  <si>
    <t>ANÁLISIS UPEG</t>
  </si>
  <si>
    <t>Análisis UPEG</t>
  </si>
  <si>
    <t>LA FICHA PIDE Diagnóstico y la ingeniería de procesos elaborados.</t>
  </si>
  <si>
    <t>Proyección Valores por Año</t>
  </si>
  <si>
    <t>Año</t>
  </si>
  <si>
    <t>Valor</t>
  </si>
  <si>
    <t>Año base (2018)</t>
  </si>
  <si>
    <t>Presupuesto Total del Gobierno</t>
  </si>
  <si>
    <t>EVALUACIÓN 2019</t>
  </si>
  <si>
    <t xml:space="preserve">Programa oportunidades y empleo
</t>
  </si>
  <si>
    <t>Habilitación Laboral</t>
  </si>
  <si>
    <t>Oportunidades y empleo.</t>
  </si>
  <si>
    <t>Programa de regulación de las condiciones laborales.</t>
  </si>
  <si>
    <t>Mejorando la gobernanza en el mercado de trabajo.</t>
  </si>
  <si>
    <t>Salarios y productividad laboral</t>
  </si>
  <si>
    <t>Alineamiento de los entes formativos y el mercado de trabajo</t>
  </si>
  <si>
    <t>Sistema de Información de Empleo, Productividad y Seguridad Social(SIEPSS)</t>
  </si>
  <si>
    <t>STSS</t>
  </si>
  <si>
    <t>SDE</t>
  </si>
  <si>
    <t>Programa de Fortalecimiento de 16 centros de desarrollo
empresarial (CDE-MiPYME) y 50 centros de atención
de apoyo para la micro, pequeña y mediana empresa.</t>
  </si>
  <si>
    <t>Los recursos destinados
al Programa de Encadenamientos Productivos que figura
en el Marco de Acción Conjunta</t>
  </si>
  <si>
    <t>Secretaría de Agricultura y Ganadería</t>
  </si>
  <si>
    <t>metas</t>
  </si>
  <si>
    <t>ejecución</t>
  </si>
  <si>
    <t>EVALUACIÓN 2020</t>
  </si>
  <si>
    <t>EVALUACIÓN</t>
  </si>
  <si>
    <t>CANTIDAD DE CRÉDITOS</t>
  </si>
  <si>
    <t xml:space="preserve"> MONTO DESEMBOLSADO </t>
  </si>
  <si>
    <t xml:space="preserve">          %</t>
  </si>
  <si>
    <t>INTERPRETACION DE MONTOS DESEMBOLSADOS</t>
  </si>
  <si>
    <t>INTERPRETACIÓN PORCENTUAL</t>
  </si>
  <si>
    <t xml:space="preserve"> FEMENINO</t>
  </si>
  <si>
    <t>MICROCREDITO</t>
  </si>
  <si>
    <t>PRODUCCION</t>
  </si>
  <si>
    <t>63,456,550.23</t>
  </si>
  <si>
    <t>VIVIENDA</t>
  </si>
  <si>
    <t>MASCULINO</t>
  </si>
  <si>
    <t>125,124,591.39</t>
  </si>
  <si>
    <t>1,582,769,441.75</t>
  </si>
  <si>
    <t>PERSONA JURIDICA</t>
  </si>
  <si>
    <t>126,646,333.44</t>
  </si>
  <si>
    <t>TOTAL GENERAL</t>
  </si>
  <si>
    <r>
      <t xml:space="preserve">EVALUACIÓN </t>
    </r>
    <r>
      <rPr>
        <b/>
        <sz val="11"/>
        <color theme="1"/>
        <rFont val="Calibri"/>
        <family val="2"/>
        <scheme val="minor"/>
      </rPr>
      <t>UPEG</t>
    </r>
  </si>
  <si>
    <r>
      <t>El cuadro original fue recibido con información en dos formatos, en Lempiras y en millones de Lempiras. Se procedió a uniformar el factor de escala (</t>
    </r>
    <r>
      <rPr>
        <b/>
        <sz val="11"/>
        <color theme="1"/>
        <rFont val="Calibri"/>
        <family val="2"/>
        <scheme val="minor"/>
      </rPr>
      <t>"Interpretación de montos desembolsados"</t>
    </r>
    <r>
      <rPr>
        <sz val="11"/>
        <color theme="1"/>
        <rFont val="Calibri"/>
        <family val="2"/>
        <scheme val="minor"/>
      </rPr>
      <t>), y como comprobación, se calculó nuevamente el porcentaje de cada uno de los subtotales (</t>
    </r>
    <r>
      <rPr>
        <b/>
        <sz val="11"/>
        <color theme="1"/>
        <rFont val="Calibri"/>
        <family val="2"/>
        <scheme val="minor"/>
      </rPr>
      <t>"Interpretación porcentual"</t>
    </r>
    <r>
      <rPr>
        <sz val="11"/>
        <color theme="1"/>
        <rFont val="Calibri"/>
        <family val="2"/>
        <scheme val="minor"/>
      </rPr>
      <t>). De los datos mostrados, puede verse que en ambos casos, los créditos otorgados a las empresarias representan un 19.47%, es decir, L.1,354.56MM de un total de L.6,957.90MM.</t>
    </r>
  </si>
  <si>
    <r>
      <t xml:space="preserve">En este indicador 1, </t>
    </r>
    <r>
      <rPr>
        <b/>
        <sz val="11"/>
        <color theme="1"/>
        <rFont val="Calibri"/>
        <family val="2"/>
        <scheme val="minor"/>
      </rPr>
      <t>"Población con empleo pleno".</t>
    </r>
    <r>
      <rPr>
        <sz val="11"/>
        <color theme="1"/>
        <rFont val="Calibri"/>
        <family val="2"/>
        <scheme val="minor"/>
      </rPr>
      <t xml:space="preserve"> Los datos obtenidos de los anexos mencionados: 996,554 personas en subempleo visible y 1,585,972 personas en subempleo invisible, nos arrojan que del total de ocupados, unos 4,090,651 personas, tenemos 1,508,125 personas con Empleo Pleno. Esto representa un 36.868%, un descenso de la meta de 38.0% y por tanto, </t>
    </r>
    <r>
      <rPr>
        <b/>
        <sz val="11"/>
        <color rgb="FFFF0000"/>
        <rFont val="Calibri"/>
        <family val="2"/>
        <scheme val="minor"/>
      </rPr>
      <t>este indicador no alcanzó su meta</t>
    </r>
    <r>
      <rPr>
        <sz val="11"/>
        <color theme="1"/>
        <rFont val="Calibri"/>
        <family val="2"/>
        <scheme val="minor"/>
      </rPr>
      <t>.</t>
    </r>
  </si>
  <si>
    <t>En este indicador, se entregó el Catálogo Nacional de Ocupaciones y fue aprobado; pero esta propuesta aún no ha sido enviada al Poder Ejecutivo. La meta propuesta fue lograda parcialmente.</t>
  </si>
  <si>
    <r>
      <t>Para el indicador 4, "</t>
    </r>
    <r>
      <rPr>
        <b/>
        <sz val="11"/>
        <color theme="1"/>
        <rFont val="Calibri"/>
        <family val="2"/>
        <scheme val="minor"/>
      </rPr>
      <t>Porcentaje de población formada y certificada en el Sistema Nacional de Formación Profesional</t>
    </r>
    <r>
      <rPr>
        <sz val="11"/>
        <color theme="1"/>
        <rFont val="Calibri"/>
        <family val="2"/>
        <scheme val="minor"/>
      </rPr>
      <t>" se tomaron datos de Aprendizaje en Centro (para el área agrícola e industrial) y también datos de Habilitación para la población vulnerable. Se alcanza la meta propuesta, lo que es un logro notable dado que el año 2020 fue atípico. Este indicador fue cumplido.</t>
    </r>
  </si>
  <si>
    <r>
      <t>Para el indicador 5, "</t>
    </r>
    <r>
      <rPr>
        <b/>
        <sz val="11"/>
        <color theme="1"/>
        <rFont val="Calibri"/>
        <family val="2"/>
        <scheme val="minor"/>
      </rPr>
      <t>Nivel de avance en la simplificación de los procesos de registro y operación de las MiPYME</t>
    </r>
    <r>
      <rPr>
        <sz val="11"/>
        <color theme="1"/>
        <rFont val="Calibri"/>
        <family val="2"/>
        <scheme val="minor"/>
      </rPr>
      <t>" se logra cumplir con la meta, (poner mayor explicación del resumen de las tablas). Se logró cumplir con el indicador.</t>
    </r>
  </si>
  <si>
    <r>
      <t>La información para evaluar al indicador 6, "</t>
    </r>
    <r>
      <rPr>
        <b/>
        <sz val="11"/>
        <color theme="1"/>
        <rFont val="Calibri"/>
        <family val="2"/>
        <scheme val="minor"/>
      </rPr>
      <t>Proporción del monto de créditos directos desembolsados a empresarias</t>
    </r>
    <r>
      <rPr>
        <sz val="11"/>
        <color theme="1"/>
        <rFont val="Calibri"/>
        <family val="2"/>
        <scheme val="minor"/>
      </rPr>
      <t xml:space="preserve">" fue recibida en dos formatos: en millones de Lempiras y en Lempiras. Para poder analizarlo, se optó por trabajar todo en millones de Lempiras (MM). Como puede verse en los datos mostrados  (ver más abajo), los créditos otorgados a las empresarias representan un 19.47% del total, es decir, L.1,354.56MM de un total de L.6,957.90MM. Debido a que la meta prevista para el año 2020 era de 24%, este indicador muestra que no se logró la meta y por tanto, </t>
    </r>
    <r>
      <rPr>
        <b/>
        <sz val="11"/>
        <color rgb="FFFF0000"/>
        <rFont val="Calibri"/>
        <family val="2"/>
        <scheme val="minor"/>
      </rPr>
      <t>no se cumplió con el indicador.</t>
    </r>
  </si>
  <si>
    <r>
      <t>La información del indicador 7, "</t>
    </r>
    <r>
      <rPr>
        <b/>
        <sz val="11"/>
        <color theme="1"/>
        <rFont val="Calibri"/>
        <family val="2"/>
        <scheme val="minor"/>
      </rPr>
      <t>Cobertura Geográfica de los servicios prestados en los Centros de Atención Integral para Buscadores de Empleo y Oportunidades (CEOs)</t>
    </r>
    <r>
      <rPr>
        <sz val="11"/>
        <color theme="1"/>
        <rFont val="Calibri"/>
        <family val="2"/>
        <scheme val="minor"/>
      </rPr>
      <t xml:space="preserve">" mostrada en las tablas más abajo permite verificar el número de beneficiarios y tipo de servicios brindados en los 7 Centros  de Empleo y Oportunidades que eran necesarios para el logro de esta meta. </t>
    </r>
    <r>
      <rPr>
        <b/>
        <sz val="12"/>
        <color rgb="FFFF0000"/>
        <rFont val="Calibri"/>
        <family val="2"/>
        <scheme val="minor"/>
      </rPr>
      <t>Indicador Cumplido.</t>
    </r>
  </si>
  <si>
    <t>Número de institución</t>
  </si>
  <si>
    <t>ESTIMACIONES</t>
  </si>
  <si>
    <t>2018 empleo</t>
  </si>
  <si>
    <t>2018 total</t>
  </si>
  <si>
    <t>% empleo</t>
  </si>
  <si>
    <t>2019 total</t>
  </si>
  <si>
    <t>2020 total</t>
  </si>
  <si>
    <t>2019 empleo</t>
  </si>
  <si>
    <t>2020 empleo</t>
  </si>
  <si>
    <t>SAG</t>
  </si>
  <si>
    <t>SDE (CDE-MIPYMES)</t>
  </si>
  <si>
    <t>TOTALES</t>
  </si>
  <si>
    <t>PRESUPUESTO GLOBAL DE LAS  INSTITUCIONES</t>
  </si>
  <si>
    <t>PRESUPUESTO EJECUTADO EN TEMAS DE EMPLEO (ESTIMACIONES)</t>
  </si>
  <si>
    <t>META</t>
  </si>
  <si>
    <t>LÍNEA BASE</t>
  </si>
  <si>
    <t>PRESUPUESTO TOTAL DEL GOBIERNO</t>
  </si>
  <si>
    <t>PORCENTAJE DE EJECUCIÓN PRESUPUESTAL</t>
  </si>
  <si>
    <t>PORCENTAJE DE EJECUCIÓN DE RECURSOS NACIONALES DEL PEI</t>
  </si>
  <si>
    <t>CRECIMIENTO AL AÑO ANTERIOR</t>
  </si>
  <si>
    <t>Total Declarado</t>
  </si>
  <si>
    <r>
      <t>Para el indicador 8, "</t>
    </r>
    <r>
      <rPr>
        <b/>
        <sz val="11"/>
        <color theme="1"/>
        <rFont val="Calibri"/>
        <family val="2"/>
        <scheme val="minor"/>
      </rPr>
      <t>Variación en la movilización de recursos del Tesoro Nacional en el financiamiento de los Programas Estratégicos del PEI,  de la Secretaría de Trabajo y Seguridad Social, Secretaría de Desarrollo Económico y Secretaría de Agricultura</t>
    </r>
    <r>
      <rPr>
        <sz val="11"/>
        <color theme="1"/>
        <rFont val="Calibri"/>
        <family val="2"/>
        <scheme val="minor"/>
      </rPr>
      <t xml:space="preserve">" se hicieron estimaciones porque no hubo manera de obtener información por vía oficial. La Secretaría de Finanzas no entregó la información presupuestaria por categoría programática necesaria para determinar con exactitud la contribución económica de cada una de las tres instituciones al indicador. Estas líneas presupuestarias de cada PEI fueron pactadas para determinar la línea base correspondiente, y aparecen en los PEI pero no están aún en losPOAs ni presupuestos de las instituciones de manera explícita y separada; es decir, no han sido incorporadas con precisión en el presupuesto vigente de cada institución. Este ejercicio lo está realizando lentamente la Secretaría de Coordinación General de Gobierno. Por tanto, se procedió con el total global presupuestario para hacer una estimación en cada una de las instituciones. El resultado no está tan alejado de la realidad, considerando que el año 2020 fue un año atípico donde la prioridad del gobierno fue la reactivación económica y el fortalecimiento del sector salud, representado por la contratación masiva de personal médico. Estos esfuerzos presupuestarios se ven claramente en el despunte atípico del 200%  del año 2020, equivalente al 67% de crecimiento del </t>
    </r>
    <r>
      <rPr>
        <b/>
        <sz val="11"/>
        <color theme="1"/>
        <rFont val="Calibri"/>
        <family val="2"/>
        <scheme val="minor"/>
      </rPr>
      <t xml:space="preserve">Presupuesto Nacional de la República </t>
    </r>
    <r>
      <rPr>
        <sz val="11"/>
        <color theme="1"/>
        <rFont val="Calibri"/>
        <family val="2"/>
        <scheme val="minor"/>
      </rPr>
      <t xml:space="preserve">respecto al año anterior. </t>
    </r>
    <r>
      <rPr>
        <b/>
        <sz val="11"/>
        <color rgb="FF00B050"/>
        <rFont val="Calibri"/>
        <family val="2"/>
        <scheme val="minor"/>
      </rPr>
      <t xml:space="preserve">La contribución de la Variación en la movilización de los recursos del Tesoro Nacional dedicados al PEI creció, de 0.1246% en 2018 a un 0.1469% en 2020, o sea que el incremento registrado en este indicador es de un 597%, en lugar de un 3% como se había planificado. </t>
    </r>
    <r>
      <rPr>
        <sz val="11"/>
        <color theme="1"/>
        <rFont val="Calibri"/>
        <family val="2"/>
        <scheme val="minor"/>
      </rPr>
      <t xml:space="preserve">Por todas estas razones consideramos que este indicador está </t>
    </r>
    <r>
      <rPr>
        <b/>
        <sz val="11"/>
        <color rgb="FFFF0000"/>
        <rFont val="Calibri"/>
        <family val="2"/>
        <scheme val="minor"/>
      </rPr>
      <t>SOBRADAMENTE CUMPLIDO.</t>
    </r>
  </si>
  <si>
    <r>
      <t xml:space="preserve">En este indicador 2, </t>
    </r>
    <r>
      <rPr>
        <b/>
        <sz val="11"/>
        <color theme="1"/>
        <rFont val="Calibri"/>
        <family val="2"/>
        <scheme val="minor"/>
      </rPr>
      <t>"Proporción de población asalariada inscrita en la Seguridad Social en relación al total de la  población asalariada"</t>
    </r>
    <r>
      <rPr>
        <sz val="11"/>
        <color theme="1"/>
        <rFont val="Calibri"/>
        <family val="2"/>
        <scheme val="minor"/>
      </rPr>
      <t>, tomamos los trabajadores con seguridad social en el año 2020, es decir,782,902 personas contra el total de trabajadores asalariados en 2020, que fue de 1,705,451 personas. Esto nos arroja un 45.9% de proporción de asalariados con seguridad social, sobrepasando la meta establecida de 43.5%</t>
    </r>
  </si>
  <si>
    <t>BANCA DE PRIMER PISO</t>
  </si>
  <si>
    <t>PYME</t>
  </si>
  <si>
    <t>MICROCRÉDITO</t>
  </si>
  <si>
    <t>N° PRMOS</t>
  </si>
  <si>
    <t>MONTO</t>
  </si>
  <si>
    <t>BANCA DE SEGUNDO PISO</t>
  </si>
  <si>
    <t>AGROPECUARIO/PRODUCCIÓN</t>
  </si>
  <si>
    <t>N° PMOS</t>
  </si>
  <si>
    <t>TTL</t>
  </si>
  <si>
    <t>Servicio Orientación Laboral</t>
  </si>
  <si>
    <t>Servicio Intermediación Laboral</t>
  </si>
  <si>
    <t>Servicio Derivación Inter institutcional</t>
  </si>
  <si>
    <t>Servicio Gestión Empresarial</t>
  </si>
  <si>
    <t>CEIBA</t>
  </si>
  <si>
    <t>CHOLUTECA</t>
  </si>
  <si>
    <t>COMAYAGUA</t>
  </si>
  <si>
    <t>DANLI</t>
  </si>
  <si>
    <t>PROGRESO</t>
  </si>
  <si>
    <t>SAN PEDRO SULA</t>
  </si>
  <si>
    <t>TEGUCIGALPA</t>
  </si>
  <si>
    <t>Vinculación EMPRESARIAL TEGUCIGALPA</t>
  </si>
  <si>
    <t>* Oficina SENAEH TEGUCIGALPA y Vinculación EMPRESARIAL TEGUCIGALPA suman como una sola oficina</t>
  </si>
  <si>
    <t>Servicio de Gestión Territorial</t>
  </si>
  <si>
    <t>N.</t>
  </si>
  <si>
    <t xml:space="preserve">REGIONALES </t>
  </si>
  <si>
    <t>N. de reuniones de MTE</t>
  </si>
  <si>
    <t>Cantidad de actores inscritos en la MTE</t>
  </si>
  <si>
    <t xml:space="preserve">acciones de fortalecimiento realizadas (reuniones, capacitaciones, talleres en relación a la MTE) en relación al número de acciones planificadas en el plan de acción anual </t>
  </si>
  <si>
    <t>Cantidad de reuniones de seguimiento y monitoreo al Plan Anual</t>
  </si>
  <si>
    <t>Aplicación del Manual de Funcionamiento de MTE (SI - NO)</t>
  </si>
  <si>
    <t>Plan Anual de Promoción Empleo e Ingresos aprobado (PPEeI) (SI - NO)</t>
  </si>
  <si>
    <t>Mesa Territorial de Empleo operando (SI - NO)</t>
  </si>
  <si>
    <t>no</t>
  </si>
  <si>
    <t>SI</t>
  </si>
  <si>
    <t>GRACIAS</t>
  </si>
  <si>
    <t>si</t>
  </si>
  <si>
    <t>LA ESPERANZA</t>
  </si>
  <si>
    <t>SANTA ROSA</t>
  </si>
  <si>
    <t>CHOLOMA</t>
  </si>
  <si>
    <t>EL PROGRESO</t>
  </si>
  <si>
    <t>LA CEIBA</t>
  </si>
  <si>
    <t>ROATAN</t>
  </si>
  <si>
    <t>JUTICALPA</t>
  </si>
  <si>
    <t>CATACAMAS</t>
  </si>
  <si>
    <t>SAN LORENZO</t>
  </si>
  <si>
    <t>DANLí</t>
  </si>
  <si>
    <t xml:space="preserve">FUENTE: DOCUMENTO OFICIAL REMITIDO POR SENAEH </t>
  </si>
  <si>
    <r>
      <t>FUENTE 1:</t>
    </r>
    <r>
      <rPr>
        <sz val="10"/>
        <color theme="1"/>
        <rFont val="Arial"/>
        <family val="2"/>
      </rPr>
      <t xml:space="preserve"> ARCHIVO “INFORMACION A SOLICITAR A SENAEH PARA INFORME DE TRAMO FIJO (2)_Corregido_AgrupadoServicio20210618.docx” PÁGINA 11.</t>
    </r>
  </si>
  <si>
    <r>
      <t>FUENTE 2:</t>
    </r>
    <r>
      <rPr>
        <sz val="10"/>
        <color theme="1"/>
        <rFont val="Arial"/>
        <family val="2"/>
      </rPr>
      <t xml:space="preserve"> ARCHIVO “Análisis Soporte Indicador 7 (1)_V2.xlsx”, HOJA DE CÁLCULO: “Servicios a reportar 2020”</t>
    </r>
  </si>
  <si>
    <t>EN EL PRIMER CUADRO, APARECEN 4 DE LOS 5 SERVICIOS QUE COMPRENDEN EL NUEVO MODELO. El QUINTO SERVICIO APARECE EN UN SEGUNDO CUADRO MÁS ABAJO.</t>
  </si>
  <si>
    <t>NO.</t>
  </si>
  <si>
    <t>TABLA DE MONITOREO DE DESEMBOLSO UE</t>
  </si>
  <si>
    <t>BANCA DE PRIMER PISO (AGENCIAS BANHPROVI)</t>
  </si>
  <si>
    <t>AMBOS PISOS</t>
  </si>
  <si>
    <t>GÉNERO/ RUBRO</t>
  </si>
  <si>
    <t>MONTO DESEMBOLSADO</t>
  </si>
  <si>
    <t>%</t>
  </si>
  <si>
    <t>CRÉDITOS</t>
  </si>
  <si>
    <t>MONTO, MM</t>
  </si>
  <si>
    <t>FEMENINO</t>
  </si>
  <si>
    <t>PERSONAS= FEM+MASC</t>
  </si>
  <si>
    <t>MICROCREDITO y PYME</t>
  </si>
  <si>
    <t>AGRO</t>
  </si>
  <si>
    <t>VIVIENDA y OTROS</t>
  </si>
  <si>
    <t>Total General</t>
  </si>
  <si>
    <t>303.1 millones</t>
  </si>
  <si>
    <t>BANCA DE SEGUNDO PISO (INTERMEDIARIOS FINANCIEROS)</t>
  </si>
  <si>
    <t>millones</t>
  </si>
  <si>
    <t>Se entregó el Catálogo Nacional de Ocupaciones. Se aprueba mediante Acuerdo ejecutivo</t>
  </si>
  <si>
    <t>meta</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</si>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</sst>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 #,##0.00_ ;_ * \-#,##0.00_ ;_ * &quot;-&quot;??_ ;_ @_ "/>
    <numFmt numFmtId="165" formatCode="0.0"/>
    <numFmt numFmtId="166" formatCode="_-* #,##0.0_-;\-* #,##0.0_-;_-* &quot;-&quot;??_-;_-@_-"/>
    <numFmt numFmtId="167" formatCode="0.000"/>
    <numFmt numFmtId="168" formatCode="0.000%"/>
    <numFmt numFmtId="169" formatCode="0.0000"/>
    <numFmt numFmtId="170" formatCode="0.00000%"/>
    <numFmt numFmtId="171" formatCode="0.0000%"/>
    <numFmt numFmtId="172" formatCode="_-* #,##0.0000_-;\-* #,##0.0000_-;_-* &quot;-&quot;??_-;_-@_-"/>
    <numFmt numFmtId="173" formatCode="_-* #,##0_-;\-* #,##0_-;_-* &quot;-&quot;??_-;_-@_-"/>
  </numFmts>
  <fonts count="55" x14ac:knownFonts="1">
    <font>
      <sz val="11"/>
      <color theme="1"/>
      <name val="Calibri"/>
      <family val="2"/>
      <scheme val="minor"/>
    </font>
    <font>
      <b/>
      <sz val="11"/>
      <color theme="1"/>
      <name val="Calibri"/>
      <family val="2"/>
      <scheme val="minor"/>
    </font>
    <font>
      <b/>
      <sz val="12"/>
      <color theme="1"/>
      <name val="Times New Roman"/>
      <family val="1"/>
    </font>
    <font>
      <sz val="12"/>
      <color theme="1"/>
      <name val="Times New Roman"/>
      <family val="1"/>
    </font>
    <font>
      <sz val="8"/>
      <color theme="1"/>
      <name val="Times New Roman"/>
      <family val="1"/>
    </font>
    <font>
      <vertAlign val="superscript"/>
      <sz val="8"/>
      <color theme="1"/>
      <name val="Times New Roman"/>
      <family val="1"/>
    </font>
    <font>
      <sz val="10"/>
      <color theme="1"/>
      <name val="Times New Roman"/>
      <family val="1"/>
    </font>
    <font>
      <sz val="11"/>
      <color theme="1"/>
      <name val="Calibri"/>
      <family val="2"/>
      <scheme val="minor"/>
    </font>
    <font>
      <sz val="9"/>
      <color theme="1"/>
      <name val="Times New Roman"/>
      <family val="1"/>
    </font>
    <font>
      <sz val="9"/>
      <color theme="1"/>
      <name val="Calibri"/>
      <family val="2"/>
      <scheme val="minor"/>
    </font>
    <font>
      <sz val="8"/>
      <color theme="1"/>
      <name val="Calibri"/>
      <family val="2"/>
      <scheme val="minor"/>
    </font>
    <font>
      <sz val="8"/>
      <color theme="1"/>
      <name val="Calibri"/>
      <family val="2"/>
    </font>
    <font>
      <b/>
      <sz val="11"/>
      <color theme="1"/>
      <name val="Times New Roman"/>
      <family val="1"/>
    </font>
    <font>
      <b/>
      <sz val="9"/>
      <color theme="1"/>
      <name val="Times New Roman"/>
      <family val="1"/>
    </font>
    <font>
      <b/>
      <sz val="11"/>
      <name val="Calibri"/>
      <family val="2"/>
      <scheme val="minor"/>
    </font>
    <font>
      <b/>
      <sz val="9"/>
      <color theme="1"/>
      <name val="Calibri"/>
      <family val="2"/>
      <scheme val="minor"/>
    </font>
    <font>
      <b/>
      <sz val="8"/>
      <color theme="1"/>
      <name val="Calibri"/>
      <family val="2"/>
      <scheme val="minor"/>
    </font>
    <font>
      <sz val="11"/>
      <color rgb="FF006100"/>
      <name val="Calibri"/>
      <family val="2"/>
      <scheme val="minor"/>
    </font>
    <font>
      <sz val="11"/>
      <color rgb="FF9C0006"/>
      <name val="Calibri"/>
      <family val="2"/>
      <scheme val="minor"/>
    </font>
    <font>
      <b/>
      <sz val="11"/>
      <color rgb="FF006100"/>
      <name val="Calibri"/>
      <family val="2"/>
      <scheme val="minor"/>
    </font>
    <font>
      <sz val="11"/>
      <name val="Calibri"/>
      <family val="2"/>
      <scheme val="minor"/>
    </font>
    <font>
      <sz val="9"/>
      <color indexed="81"/>
      <name val="Tahoma"/>
      <family val="2"/>
    </font>
    <font>
      <b/>
      <sz val="9"/>
      <color indexed="81"/>
      <name val="Tahoma"/>
      <family val="2"/>
    </font>
    <font>
      <b/>
      <sz val="11"/>
      <color rgb="FFFF0000"/>
      <name val="Calibri"/>
      <family val="2"/>
      <scheme val="minor"/>
    </font>
    <font>
      <b/>
      <sz val="11"/>
      <color rgb="FFFFFF00"/>
      <name val="Calibri"/>
      <family val="2"/>
      <scheme val="minor"/>
    </font>
    <font>
      <b/>
      <sz val="11"/>
      <color rgb="FFFFC000"/>
      <name val="Calibri"/>
      <family val="2"/>
      <scheme val="minor"/>
    </font>
    <font>
      <b/>
      <sz val="10"/>
      <color theme="1"/>
      <name val="Times New Roman"/>
      <family val="1"/>
    </font>
    <font>
      <b/>
      <sz val="16"/>
      <color theme="1"/>
      <name val="Calibri"/>
      <family val="2"/>
      <scheme val="minor"/>
    </font>
    <font>
      <b/>
      <sz val="14"/>
      <color theme="1"/>
      <name val="Calibri"/>
      <family val="2"/>
      <scheme val="minor"/>
    </font>
    <font>
      <sz val="20"/>
      <color theme="1"/>
      <name val="Calibri"/>
      <family val="2"/>
      <scheme val="minor"/>
    </font>
    <font>
      <b/>
      <sz val="9"/>
      <color indexed="10"/>
      <name val="Tahoma"/>
      <family val="2"/>
    </font>
    <font>
      <b/>
      <sz val="16"/>
      <color theme="1"/>
      <name val="Times New Roman"/>
      <family val="1"/>
    </font>
    <font>
      <b/>
      <sz val="24"/>
      <color theme="1"/>
      <name val="Times New Roman"/>
      <family val="1"/>
    </font>
    <font>
      <sz val="18"/>
      <color theme="1"/>
      <name val="Calibri"/>
      <family val="2"/>
      <scheme val="minor"/>
    </font>
    <font>
      <b/>
      <sz val="11"/>
      <color rgb="FF000000"/>
      <name val="Calibri"/>
      <family val="2"/>
      <scheme val="minor"/>
    </font>
    <font>
      <sz val="11"/>
      <color rgb="FF000000"/>
      <name val="Calibri"/>
      <family val="2"/>
      <scheme val="minor"/>
    </font>
    <font>
      <sz val="16"/>
      <color theme="1"/>
      <name val="Calibri"/>
      <family val="2"/>
      <scheme val="minor"/>
    </font>
    <font>
      <b/>
      <sz val="22"/>
      <color theme="1"/>
      <name val="Calibri"/>
      <family val="2"/>
      <scheme val="minor"/>
    </font>
    <font>
      <sz val="24"/>
      <color theme="1"/>
      <name val="Calibri"/>
      <family val="2"/>
      <scheme val="minor"/>
    </font>
    <font>
      <b/>
      <sz val="12"/>
      <color rgb="FFFF0000"/>
      <name val="Calibri"/>
      <family val="2"/>
      <scheme val="minor"/>
    </font>
    <font>
      <b/>
      <sz val="16"/>
      <color rgb="FFFFFF00"/>
      <name val="Calibri"/>
      <family val="2"/>
      <scheme val="minor"/>
    </font>
    <font>
      <b/>
      <sz val="20"/>
      <color rgb="FFFFFF00"/>
      <name val="Calibri"/>
      <family val="2"/>
      <scheme val="minor"/>
    </font>
    <font>
      <b/>
      <sz val="11"/>
      <color rgb="FF00B050"/>
      <name val="Calibri"/>
      <family val="2"/>
      <scheme val="minor"/>
    </font>
    <font>
      <sz val="11"/>
      <color rgb="FFFFFF00"/>
      <name val="Calibri"/>
      <family val="2"/>
      <scheme val="minor"/>
    </font>
    <font>
      <sz val="9"/>
      <color rgb="FF000000"/>
      <name val="Calibri"/>
      <family val="2"/>
      <scheme val="minor"/>
    </font>
    <font>
      <sz val="10"/>
      <color theme="1"/>
      <name val="Calibri"/>
      <family val="2"/>
      <scheme val="minor"/>
    </font>
    <font>
      <sz val="10"/>
      <color rgb="FF000000"/>
      <name val="Calibri"/>
      <family val="2"/>
      <scheme val="minor"/>
    </font>
    <font>
      <sz val="10"/>
      <color theme="1"/>
      <name val="Arial"/>
      <family val="2"/>
    </font>
    <font>
      <b/>
      <sz val="10"/>
      <color theme="1"/>
      <name val="Arial"/>
      <family val="2"/>
    </font>
    <font>
      <b/>
      <sz val="9"/>
      <color rgb="FF000000"/>
      <name val="Calibri"/>
      <family val="2"/>
      <scheme val="minor"/>
    </font>
    <font>
      <b/>
      <sz val="9.5"/>
      <color theme="1"/>
      <name val="Segoe UI Black"/>
      <family val="2"/>
    </font>
    <font>
      <b/>
      <sz val="11"/>
      <color rgb="FFFFFFFF"/>
      <name val="Times New Roman"/>
      <family val="1"/>
    </font>
    <font>
      <sz val="11"/>
      <color theme="1"/>
      <name val="Times New Roman"/>
      <family val="1"/>
    </font>
    <font>
      <b/>
      <sz val="14"/>
      <color rgb="FFFFFFFF"/>
      <name val="Times New Roman"/>
      <family val="1"/>
    </font>
    <font>
      <sz val="14"/>
      <color rgb="FFFFFFFF"/>
      <name val="Times New Roman"/>
      <family val="1"/>
    </font>
  </fonts>
  <fills count="26">
    <fill>
      <patternFill patternType="none"/>
    </fill>
    <fill>
      <patternFill patternType="gray125"/>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rgb="FFD9D9D9"/>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92D050"/>
        <bgColor indexed="64"/>
      </patternFill>
    </fill>
    <fill>
      <patternFill patternType="solid">
        <fgColor rgb="FFFF0000"/>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rgb="FF00B05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bgColor indexed="64"/>
      </patternFill>
    </fill>
    <fill>
      <patternFill patternType="solid">
        <fgColor rgb="FF7030A0"/>
        <bgColor indexed="64"/>
      </patternFill>
    </fill>
    <fill>
      <patternFill patternType="solid">
        <fgColor rgb="FFD9E1F2"/>
        <bgColor indexed="64"/>
      </patternFill>
    </fill>
    <fill>
      <patternFill patternType="solid">
        <fgColor rgb="FFF4CCCC"/>
        <bgColor indexed="64"/>
      </patternFill>
    </fill>
    <fill>
      <patternFill patternType="solid">
        <fgColor rgb="FF1F3763"/>
        <bgColor indexed="64"/>
      </patternFill>
    </fill>
    <fill>
      <patternFill patternType="solid">
        <fgColor rgb="FFFFCCCC"/>
        <bgColor indexed="64"/>
      </patternFill>
    </fill>
    <fill>
      <patternFill patternType="solid">
        <fgColor rgb="FFB4C5E7"/>
        <bgColor indexed="64"/>
      </patternFill>
    </fill>
  </fills>
  <borders count="5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s>
  <cellStyleXfs count="6">
    <xf numFmtId="0" fontId="0" fillId="0" borderId="0"/>
    <xf numFmtId="43" fontId="7" fillId="0" borderId="0" applyFont="0" applyFill="0" applyBorder="0" applyAlignment="0" applyProtection="0"/>
    <xf numFmtId="0" fontId="17" fillId="7" borderId="0" applyNumberFormat="0" applyBorder="0" applyAlignment="0" applyProtection="0"/>
    <xf numFmtId="0" fontId="18" fillId="8" borderId="0" applyNumberFormat="0" applyBorder="0" applyAlignment="0" applyProtection="0"/>
    <xf numFmtId="9" fontId="7" fillId="0" borderId="0" applyFont="0" applyFill="0" applyBorder="0" applyAlignment="0" applyProtection="0"/>
    <xf numFmtId="164" fontId="7" fillId="0" borderId="0" applyFont="0" applyFill="0" applyBorder="0" applyAlignment="0" applyProtection="0"/>
  </cellStyleXfs>
  <cellXfs count="503">
    <xf numFmtId="0" fontId="0" fillId="0" borderId="0" xfId="0"/>
    <xf numFmtId="0" fontId="3" fillId="0" borderId="0" xfId="0" applyFont="1" applyAlignment="1">
      <alignment wrapText="1"/>
    </xf>
    <xf numFmtId="0" fontId="0" fillId="0" borderId="0" xfId="0" applyAlignment="1">
      <alignment wrapText="1"/>
    </xf>
    <xf numFmtId="0" fontId="0" fillId="0" borderId="0" xfId="0" applyAlignment="1">
      <alignment horizontal="center" wrapText="1"/>
    </xf>
    <xf numFmtId="0" fontId="1" fillId="0" borderId="0" xfId="0" applyFont="1"/>
    <xf numFmtId="0" fontId="0" fillId="0" borderId="0" xfId="0" applyAlignment="1">
      <alignment horizontal="center" vertical="center"/>
    </xf>
    <xf numFmtId="1" fontId="0" fillId="0" borderId="0" xfId="0" applyNumberFormat="1" applyAlignment="1">
      <alignment horizontal="center" vertical="center"/>
    </xf>
    <xf numFmtId="165" fontId="0" fillId="2" borderId="0" xfId="0" applyNumberFormat="1" applyFill="1" applyAlignment="1">
      <alignment horizontal="center" vertical="center"/>
    </xf>
    <xf numFmtId="0" fontId="0" fillId="0" borderId="0" xfId="0" applyAlignment="1">
      <alignment vertical="center"/>
    </xf>
    <xf numFmtId="0" fontId="4" fillId="0" borderId="0" xfId="0" applyFont="1" applyAlignment="1">
      <alignment horizontal="left" vertical="center" wrapText="1"/>
    </xf>
    <xf numFmtId="0" fontId="0" fillId="3" borderId="0" xfId="0" applyFill="1"/>
    <xf numFmtId="0" fontId="6"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wrapText="1"/>
    </xf>
    <xf numFmtId="0" fontId="4" fillId="0" borderId="0" xfId="0" applyFont="1" applyAlignment="1">
      <alignment horizontal="left" vertical="center"/>
    </xf>
    <xf numFmtId="0" fontId="4" fillId="0" borderId="0" xfId="0" applyFont="1"/>
    <xf numFmtId="0" fontId="4" fillId="0" borderId="0" xfId="0" applyFont="1" applyAlignment="1">
      <alignment horizontal="left"/>
    </xf>
    <xf numFmtId="0" fontId="2" fillId="0" borderId="0" xfId="0" applyFont="1" applyAlignment="1">
      <alignment horizontal="left" vertical="top" wrapText="1"/>
    </xf>
    <xf numFmtId="0" fontId="3" fillId="0" borderId="0" xfId="0" applyFont="1"/>
    <xf numFmtId="0" fontId="8" fillId="5" borderId="1" xfId="0" applyFont="1" applyFill="1" applyBorder="1" applyAlignment="1">
      <alignment horizontal="left" vertical="top" wrapText="1"/>
    </xf>
    <xf numFmtId="0" fontId="8" fillId="0" borderId="0" xfId="0" applyFont="1" applyAlignment="1">
      <alignment horizontal="left" vertical="top" wrapText="1"/>
    </xf>
    <xf numFmtId="1" fontId="0" fillId="2" borderId="0" xfId="0" applyNumberFormat="1" applyFill="1" applyAlignment="1">
      <alignment horizontal="center" vertical="center"/>
    </xf>
    <xf numFmtId="1" fontId="0" fillId="0" borderId="0" xfId="0" applyNumberFormat="1"/>
    <xf numFmtId="165" fontId="0" fillId="2" borderId="0" xfId="0" applyNumberFormat="1" applyFill="1" applyAlignment="1">
      <alignment horizontal="left" vertical="top" wrapText="1"/>
    </xf>
    <xf numFmtId="1" fontId="0" fillId="0" borderId="0" xfId="0" applyNumberFormat="1" applyAlignment="1">
      <alignment wrapText="1"/>
    </xf>
    <xf numFmtId="1" fontId="0" fillId="0" borderId="0" xfId="0" applyNumberFormat="1" applyAlignment="1">
      <alignment vertical="center" wrapText="1"/>
    </xf>
    <xf numFmtId="1" fontId="0" fillId="0" borderId="0" xfId="0" applyNumberFormat="1" applyAlignment="1">
      <alignment horizontal="center" vertical="center" wrapText="1"/>
    </xf>
    <xf numFmtId="0" fontId="1" fillId="6" borderId="0" xfId="0" applyFont="1" applyFill="1"/>
    <xf numFmtId="0" fontId="2" fillId="0" borderId="0" xfId="0" applyFont="1" applyAlignment="1">
      <alignment wrapText="1"/>
    </xf>
    <xf numFmtId="0" fontId="8" fillId="0" borderId="0" xfId="0" applyFont="1" applyAlignment="1">
      <alignment horizontal="left" vertical="center"/>
    </xf>
    <xf numFmtId="1" fontId="0" fillId="3" borderId="0" xfId="0" applyNumberFormat="1" applyFill="1"/>
    <xf numFmtId="165" fontId="0" fillId="3" borderId="0" xfId="0" applyNumberFormat="1" applyFill="1"/>
    <xf numFmtId="165" fontId="10" fillId="2" borderId="0" xfId="0" applyNumberFormat="1" applyFont="1" applyFill="1" applyAlignment="1">
      <alignment horizontal="left" vertical="top" wrapText="1"/>
    </xf>
    <xf numFmtId="0" fontId="9" fillId="0" borderId="0" xfId="0" applyFont="1"/>
    <xf numFmtId="0" fontId="10" fillId="0" borderId="0" xfId="0" applyFont="1" applyAlignment="1">
      <alignment wrapText="1"/>
    </xf>
    <xf numFmtId="1" fontId="10" fillId="0" borderId="0" xfId="0" applyNumberFormat="1" applyFont="1" applyAlignment="1">
      <alignment vertical="center" wrapText="1"/>
    </xf>
    <xf numFmtId="166" fontId="0" fillId="0" borderId="0" xfId="1" applyNumberFormat="1" applyFont="1" applyAlignment="1">
      <alignment horizontal="center" vertical="center"/>
    </xf>
    <xf numFmtId="0" fontId="10" fillId="0" borderId="0" xfId="0" applyFont="1" applyAlignment="1">
      <alignment horizontal="center" wrapText="1"/>
    </xf>
    <xf numFmtId="0" fontId="12" fillId="0" borderId="0" xfId="0" applyFont="1" applyAlignment="1">
      <alignment wrapText="1"/>
    </xf>
    <xf numFmtId="2" fontId="0" fillId="0" borderId="0" xfId="0" applyNumberFormat="1" applyAlignment="1">
      <alignment horizontal="center" vertical="center"/>
    </xf>
    <xf numFmtId="0" fontId="3" fillId="0" borderId="0" xfId="0" applyFont="1" applyAlignment="1">
      <alignment vertical="top" wrapText="1"/>
    </xf>
    <xf numFmtId="2" fontId="0" fillId="2" borderId="0" xfId="0" applyNumberFormat="1" applyFill="1" applyAlignment="1">
      <alignment horizontal="center" vertical="center"/>
    </xf>
    <xf numFmtId="0" fontId="3" fillId="0" borderId="0" xfId="0" applyFont="1" applyAlignment="1">
      <alignment horizontal="left" vertical="center" indent="1"/>
    </xf>
    <xf numFmtId="0" fontId="4" fillId="0" borderId="0" xfId="0" applyFont="1" applyAlignment="1">
      <alignment horizontal="left" vertical="center" indent="1"/>
    </xf>
    <xf numFmtId="0" fontId="0" fillId="6" borderId="0" xfId="0" applyFill="1" applyAlignment="1">
      <alignment horizontal="center" vertical="center"/>
    </xf>
    <xf numFmtId="1" fontId="0" fillId="6" borderId="0" xfId="0" applyNumberFormat="1" applyFill="1" applyAlignment="1">
      <alignment horizontal="center" vertical="center"/>
    </xf>
    <xf numFmtId="0" fontId="0" fillId="6" borderId="0" xfId="0" applyFill="1"/>
    <xf numFmtId="1" fontId="1" fillId="0" borderId="0" xfId="0" applyNumberFormat="1" applyFont="1" applyAlignment="1">
      <alignment horizontal="center" vertical="center"/>
    </xf>
    <xf numFmtId="1" fontId="14" fillId="0" borderId="0" xfId="0" applyNumberFormat="1" applyFont="1" applyAlignment="1">
      <alignment horizontal="center" vertical="center"/>
    </xf>
    <xf numFmtId="1" fontId="14" fillId="0" borderId="0" xfId="0" applyNumberFormat="1" applyFont="1" applyAlignment="1">
      <alignment horizontal="center"/>
    </xf>
    <xf numFmtId="166" fontId="0" fillId="6" borderId="0" xfId="1" applyNumberFormat="1" applyFont="1" applyFill="1" applyAlignment="1">
      <alignment horizontal="center" vertical="center"/>
    </xf>
    <xf numFmtId="0" fontId="1" fillId="0" borderId="0" xfId="0" applyFont="1" applyAlignment="1">
      <alignment horizontal="center" vertical="center"/>
    </xf>
    <xf numFmtId="2" fontId="0" fillId="0" borderId="0" xfId="0" applyNumberFormat="1"/>
    <xf numFmtId="165" fontId="0" fillId="0" borderId="0" xfId="0" applyNumberFormat="1"/>
    <xf numFmtId="2" fontId="0" fillId="3" borderId="0" xfId="0" applyNumberFormat="1" applyFill="1"/>
    <xf numFmtId="2" fontId="0" fillId="6" borderId="0" xfId="0" applyNumberFormat="1" applyFill="1" applyAlignment="1">
      <alignment horizontal="center" vertical="center"/>
    </xf>
    <xf numFmtId="0" fontId="12" fillId="0" borderId="0" xfId="0" applyFont="1" applyAlignment="1">
      <alignment vertical="top"/>
    </xf>
    <xf numFmtId="0" fontId="15" fillId="0" borderId="0" xfId="0" applyFont="1" applyAlignment="1">
      <alignment wrapText="1"/>
    </xf>
    <xf numFmtId="0" fontId="16" fillId="0" borderId="0" xfId="0" applyFont="1" applyAlignment="1">
      <alignment wrapText="1"/>
    </xf>
    <xf numFmtId="0" fontId="10" fillId="0" borderId="0" xfId="0" applyFont="1" applyAlignment="1">
      <alignment vertical="top" wrapText="1"/>
    </xf>
    <xf numFmtId="0" fontId="9" fillId="0" borderId="6" xfId="0" applyFont="1" applyBorder="1"/>
    <xf numFmtId="0" fontId="9" fillId="0" borderId="7" xfId="0" applyFont="1" applyBorder="1"/>
    <xf numFmtId="165" fontId="18" fillId="8" borderId="0" xfId="3" applyNumberFormat="1"/>
    <xf numFmtId="2" fontId="1" fillId="0" borderId="0" xfId="0" applyNumberFormat="1" applyFont="1" applyAlignment="1">
      <alignment horizontal="center" vertical="center"/>
    </xf>
    <xf numFmtId="2" fontId="18" fillId="8" borderId="0" xfId="3" applyNumberFormat="1"/>
    <xf numFmtId="2" fontId="14" fillId="0" borderId="0" xfId="0" applyNumberFormat="1" applyFont="1" applyAlignment="1">
      <alignment horizontal="center" vertical="center"/>
    </xf>
    <xf numFmtId="0" fontId="18" fillId="8" borderId="0" xfId="3"/>
    <xf numFmtId="167" fontId="0" fillId="2" borderId="0" xfId="0" applyNumberFormat="1" applyFill="1" applyAlignment="1">
      <alignment horizontal="center" vertical="center"/>
    </xf>
    <xf numFmtId="167" fontId="18" fillId="8" borderId="0" xfId="3" applyNumberFormat="1"/>
    <xf numFmtId="0" fontId="17" fillId="7" borderId="11" xfId="2" applyBorder="1"/>
    <xf numFmtId="0" fontId="17" fillId="7" borderId="12" xfId="2" applyBorder="1"/>
    <xf numFmtId="0" fontId="17" fillId="7" borderId="11" xfId="2" applyBorder="1" applyAlignment="1">
      <alignment horizontal="left" vertical="center"/>
    </xf>
    <xf numFmtId="0" fontId="17" fillId="7" borderId="12" xfId="2" applyBorder="1" applyAlignment="1">
      <alignment horizontal="left" vertical="center"/>
    </xf>
    <xf numFmtId="0" fontId="2" fillId="0" borderId="0" xfId="0" applyFont="1" applyAlignment="1">
      <alignment horizontal="center" wrapText="1"/>
    </xf>
    <xf numFmtId="0" fontId="17" fillId="7" borderId="3" xfId="2" applyBorder="1" applyAlignment="1">
      <alignment horizontal="left" vertical="center" indent="1"/>
    </xf>
    <xf numFmtId="0" fontId="17" fillId="7" borderId="5" xfId="2" applyBorder="1"/>
    <xf numFmtId="0" fontId="17" fillId="7" borderId="6" xfId="2" applyBorder="1" applyAlignment="1">
      <alignment horizontal="left" vertical="center" indent="1"/>
    </xf>
    <xf numFmtId="0" fontId="17" fillId="7" borderId="7" xfId="2" applyBorder="1"/>
    <xf numFmtId="0" fontId="17" fillId="7" borderId="6" xfId="2" applyBorder="1"/>
    <xf numFmtId="0" fontId="0" fillId="0" borderId="14" xfId="0" applyBorder="1" applyAlignment="1">
      <alignment horizontal="center" vertical="center" wrapText="1"/>
    </xf>
    <xf numFmtId="0" fontId="0" fillId="0" borderId="14" xfId="0" applyBorder="1" applyAlignment="1">
      <alignment horizontal="center" vertical="center"/>
    </xf>
    <xf numFmtId="3" fontId="0" fillId="0" borderId="14" xfId="0" applyNumberFormat="1" applyBorder="1" applyAlignment="1">
      <alignment vertical="center"/>
    </xf>
    <xf numFmtId="4" fontId="0" fillId="0" borderId="14" xfId="0" applyNumberFormat="1" applyBorder="1" applyAlignment="1">
      <alignment horizontal="center" vertical="center"/>
    </xf>
    <xf numFmtId="2" fontId="0" fillId="0" borderId="14" xfId="0" applyNumberFormat="1" applyBorder="1" applyAlignment="1">
      <alignment horizontal="center" vertical="center"/>
    </xf>
    <xf numFmtId="1" fontId="0" fillId="0" borderId="14" xfId="0" applyNumberFormat="1" applyBorder="1" applyAlignment="1">
      <alignment horizontal="center" vertical="center"/>
    </xf>
    <xf numFmtId="3" fontId="0" fillId="0" borderId="14" xfId="0" applyNumberFormat="1" applyBorder="1" applyAlignment="1">
      <alignment horizontal="center" vertical="center"/>
    </xf>
    <xf numFmtId="0" fontId="18" fillId="8" borderId="14" xfId="3" applyBorder="1" applyAlignment="1">
      <alignment horizontal="center" vertical="center"/>
    </xf>
    <xf numFmtId="2" fontId="18" fillId="8" borderId="14" xfId="3" applyNumberFormat="1" applyBorder="1" applyAlignment="1">
      <alignment horizontal="center" vertical="center"/>
    </xf>
    <xf numFmtId="0" fontId="0" fillId="0" borderId="18" xfId="0" applyBorder="1" applyAlignment="1">
      <alignment horizontal="center" vertical="center" wrapText="1"/>
    </xf>
    <xf numFmtId="0" fontId="0" fillId="0" borderId="17" xfId="0" applyBorder="1" applyAlignment="1">
      <alignment horizontal="center" vertical="center"/>
    </xf>
    <xf numFmtId="2" fontId="0" fillId="0" borderId="18" xfId="0" applyNumberFormat="1" applyBorder="1" applyAlignment="1">
      <alignment horizontal="center" vertical="center"/>
    </xf>
    <xf numFmtId="0" fontId="0" fillId="0" borderId="19" xfId="0" applyBorder="1"/>
    <xf numFmtId="4" fontId="0" fillId="0" borderId="20" xfId="0" applyNumberFormat="1" applyBorder="1" applyAlignment="1">
      <alignment horizontal="center" vertical="center"/>
    </xf>
    <xf numFmtId="3" fontId="0" fillId="0" borderId="20" xfId="0" applyNumberFormat="1" applyBorder="1" applyAlignment="1">
      <alignment horizontal="center" vertical="center"/>
    </xf>
    <xf numFmtId="0" fontId="0" fillId="0" borderId="16" xfId="0" applyBorder="1" applyAlignment="1">
      <alignment wrapText="1"/>
    </xf>
    <xf numFmtId="0" fontId="0" fillId="0" borderId="22" xfId="0" applyBorder="1" applyAlignment="1">
      <alignment wrapText="1"/>
    </xf>
    <xf numFmtId="0" fontId="0" fillId="0" borderId="17" xfId="0" applyBorder="1" applyAlignment="1">
      <alignment horizontal="center" vertical="center" wrapText="1"/>
    </xf>
    <xf numFmtId="3" fontId="0" fillId="0" borderId="18" xfId="0" applyNumberFormat="1" applyBorder="1" applyAlignment="1">
      <alignment horizontal="center" vertical="center"/>
    </xf>
    <xf numFmtId="3" fontId="0" fillId="0" borderId="21" xfId="0" applyNumberFormat="1" applyBorder="1" applyAlignment="1">
      <alignment horizontal="center" vertical="center"/>
    </xf>
    <xf numFmtId="3" fontId="18" fillId="8" borderId="18" xfId="3" applyNumberFormat="1" applyBorder="1" applyAlignment="1">
      <alignment horizontal="center" vertical="center"/>
    </xf>
    <xf numFmtId="0" fontId="0" fillId="0" borderId="16" xfId="0" applyBorder="1" applyAlignment="1">
      <alignment horizontal="center" vertical="center"/>
    </xf>
    <xf numFmtId="0" fontId="0" fillId="0" borderId="29" xfId="0" applyBorder="1" applyAlignment="1">
      <alignment horizontal="center" vertical="center" wrapText="1"/>
    </xf>
    <xf numFmtId="0" fontId="0" fillId="0" borderId="23" xfId="0" applyBorder="1" applyAlignment="1">
      <alignment horizontal="center" vertical="center"/>
    </xf>
    <xf numFmtId="165" fontId="20" fillId="0" borderId="6" xfId="0" applyNumberFormat="1" applyFont="1" applyBorder="1" applyAlignment="1">
      <alignment horizontal="center" vertical="center"/>
    </xf>
    <xf numFmtId="165" fontId="20" fillId="0" borderId="0" xfId="0" applyNumberFormat="1" applyFont="1" applyAlignment="1">
      <alignment horizontal="center" vertical="center"/>
    </xf>
    <xf numFmtId="165" fontId="20" fillId="0" borderId="7" xfId="0" applyNumberFormat="1" applyFont="1" applyBorder="1" applyAlignment="1">
      <alignment horizontal="center" vertical="center"/>
    </xf>
    <xf numFmtId="0" fontId="20" fillId="0" borderId="6" xfId="0" applyFont="1" applyBorder="1"/>
    <xf numFmtId="0" fontId="20" fillId="0" borderId="0" xfId="0" applyFont="1"/>
    <xf numFmtId="0" fontId="20" fillId="0" borderId="7" xfId="0" applyFont="1" applyBorder="1"/>
    <xf numFmtId="2" fontId="20" fillId="0" borderId="6" xfId="0" applyNumberFormat="1" applyFont="1" applyBorder="1"/>
    <xf numFmtId="0" fontId="20" fillId="0" borderId="6" xfId="0" applyFont="1" applyBorder="1" applyAlignment="1">
      <alignment horizontal="center" vertical="center"/>
    </xf>
    <xf numFmtId="0" fontId="20" fillId="0" borderId="0" xfId="0" applyFont="1" applyAlignment="1">
      <alignment horizontal="center" vertical="center"/>
    </xf>
    <xf numFmtId="0" fontId="20" fillId="0" borderId="7" xfId="0" applyFont="1" applyBorder="1" applyAlignment="1">
      <alignment horizontal="center" vertical="center"/>
    </xf>
    <xf numFmtId="2" fontId="20" fillId="0" borderId="0" xfId="0" applyNumberFormat="1" applyFont="1"/>
    <xf numFmtId="2" fontId="20" fillId="0" borderId="7" xfId="0" applyNumberFormat="1" applyFont="1" applyBorder="1"/>
    <xf numFmtId="165" fontId="20" fillId="0" borderId="8" xfId="0" applyNumberFormat="1" applyFont="1" applyBorder="1" applyAlignment="1">
      <alignment horizontal="center" vertical="center"/>
    </xf>
    <xf numFmtId="165" fontId="20" fillId="0" borderId="9" xfId="0" applyNumberFormat="1" applyFont="1" applyBorder="1" applyAlignment="1">
      <alignment horizontal="center" vertical="center"/>
    </xf>
    <xf numFmtId="165" fontId="20" fillId="0" borderId="10" xfId="0" applyNumberFormat="1" applyFont="1" applyBorder="1" applyAlignment="1">
      <alignment horizontal="center" vertical="center"/>
    </xf>
    <xf numFmtId="1" fontId="10" fillId="2" borderId="0" xfId="0" applyNumberFormat="1" applyFont="1" applyFill="1" applyAlignment="1">
      <alignment horizontal="center" vertical="center" wrapText="1"/>
    </xf>
    <xf numFmtId="0" fontId="10" fillId="0" borderId="0" xfId="0" applyFont="1" applyBorder="1" applyAlignment="1">
      <alignment wrapText="1"/>
    </xf>
    <xf numFmtId="0" fontId="0" fillId="0" borderId="0" xfId="0" applyBorder="1"/>
    <xf numFmtId="0" fontId="11" fillId="0" borderId="0" xfId="0" applyFont="1" applyBorder="1" applyAlignment="1">
      <alignment horizontal="left" vertical="top" wrapText="1"/>
    </xf>
    <xf numFmtId="0" fontId="11" fillId="0" borderId="0" xfId="0" applyFont="1" applyBorder="1" applyAlignment="1">
      <alignment horizontal="center" vertical="center" wrapText="1"/>
    </xf>
    <xf numFmtId="3" fontId="0" fillId="0" borderId="0" xfId="0" applyNumberFormat="1"/>
    <xf numFmtId="3" fontId="0" fillId="0" borderId="0" xfId="0" applyNumberFormat="1" applyAlignment="1">
      <alignment horizontal="center" wrapText="1"/>
    </xf>
    <xf numFmtId="3" fontId="0" fillId="0" borderId="0" xfId="0" applyNumberFormat="1" applyAlignment="1">
      <alignment horizontal="center" vertical="center"/>
    </xf>
    <xf numFmtId="3" fontId="0" fillId="4" borderId="0" xfId="0" applyNumberFormat="1" applyFill="1"/>
    <xf numFmtId="3" fontId="0" fillId="4" borderId="0" xfId="0" applyNumberFormat="1" applyFill="1" applyAlignment="1">
      <alignment horizontal="center" vertical="center"/>
    </xf>
    <xf numFmtId="3" fontId="0" fillId="6" borderId="0" xfId="0" applyNumberFormat="1" applyFill="1"/>
    <xf numFmtId="3" fontId="0" fillId="2" borderId="0" xfId="0" applyNumberFormat="1" applyFill="1" applyAlignment="1">
      <alignment horizontal="center" vertical="top" wrapText="1"/>
    </xf>
    <xf numFmtId="3" fontId="0" fillId="9" borderId="0" xfId="0" applyNumberFormat="1" applyFill="1" applyAlignment="1">
      <alignment horizontal="center" vertical="center"/>
    </xf>
    <xf numFmtId="2" fontId="0" fillId="0" borderId="0" xfId="0" applyNumberFormat="1" applyAlignment="1">
      <alignment wrapText="1"/>
    </xf>
    <xf numFmtId="0" fontId="6" fillId="0" borderId="0" xfId="0" applyFont="1" applyAlignment="1">
      <alignment horizontal="left" vertical="center" wrapText="1"/>
    </xf>
    <xf numFmtId="0" fontId="17" fillId="7" borderId="12" xfId="2" applyBorder="1" applyAlignment="1">
      <alignment horizontal="left" vertical="top" wrapText="1"/>
    </xf>
    <xf numFmtId="0" fontId="4" fillId="0" borderId="0" xfId="0" applyFont="1" applyAlignment="1">
      <alignment horizontal="right" vertical="center" wrapText="1"/>
    </xf>
    <xf numFmtId="2" fontId="0" fillId="3" borderId="0" xfId="0" applyNumberFormat="1" applyFill="1" applyAlignment="1">
      <alignment vertical="center"/>
    </xf>
    <xf numFmtId="1" fontId="1" fillId="0" borderId="0" xfId="0" applyNumberFormat="1" applyFont="1" applyAlignment="1">
      <alignment horizontal="center"/>
    </xf>
    <xf numFmtId="3" fontId="0" fillId="9" borderId="0" xfId="0" applyNumberFormat="1" applyFill="1" applyAlignment="1">
      <alignment vertical="center"/>
    </xf>
    <xf numFmtId="3" fontId="0" fillId="6" borderId="0" xfId="0" applyNumberFormat="1" applyFill="1" applyAlignment="1">
      <alignment vertical="center"/>
    </xf>
    <xf numFmtId="3" fontId="23" fillId="6" borderId="0" xfId="0" applyNumberFormat="1" applyFont="1" applyFill="1"/>
    <xf numFmtId="0" fontId="0" fillId="0" borderId="0" xfId="0" applyFill="1" applyBorder="1" applyAlignment="1">
      <alignment horizontal="center" vertical="center" wrapText="1"/>
    </xf>
    <xf numFmtId="3" fontId="0" fillId="9" borderId="19" xfId="0" applyNumberFormat="1" applyFill="1" applyBorder="1" applyAlignment="1">
      <alignment vertical="center"/>
    </xf>
    <xf numFmtId="10" fontId="23" fillId="6" borderId="36" xfId="4" applyNumberFormat="1" applyFont="1" applyFill="1" applyBorder="1" applyAlignment="1">
      <alignment horizontal="center" vertical="center"/>
    </xf>
    <xf numFmtId="4" fontId="24" fillId="10" borderId="21" xfId="0" applyNumberFormat="1" applyFont="1" applyFill="1" applyBorder="1" applyAlignment="1">
      <alignment horizontal="center" vertical="center"/>
    </xf>
    <xf numFmtId="0" fontId="2" fillId="0" borderId="0" xfId="0" applyFont="1" applyAlignment="1">
      <alignment vertical="top" wrapText="1"/>
    </xf>
    <xf numFmtId="0" fontId="0" fillId="2" borderId="0" xfId="0" applyFill="1"/>
    <xf numFmtId="165" fontId="25" fillId="10" borderId="6" xfId="0" applyNumberFormat="1" applyFont="1" applyFill="1" applyBorder="1" applyAlignment="1">
      <alignment horizontal="center" vertical="center"/>
    </xf>
    <xf numFmtId="1" fontId="0" fillId="2" borderId="6" xfId="0" applyNumberFormat="1" applyFill="1" applyBorder="1" applyAlignment="1">
      <alignment horizontal="center" vertical="center"/>
    </xf>
    <xf numFmtId="0" fontId="0" fillId="0" borderId="7" xfId="0" applyBorder="1"/>
    <xf numFmtId="0" fontId="26" fillId="0" borderId="0" xfId="0" applyFont="1" applyAlignment="1">
      <alignment wrapText="1"/>
    </xf>
    <xf numFmtId="1" fontId="0" fillId="2" borderId="0" xfId="0" applyNumberFormat="1" applyFill="1" applyBorder="1" applyAlignment="1">
      <alignment horizontal="center" vertical="center"/>
    </xf>
    <xf numFmtId="1" fontId="0" fillId="3" borderId="0" xfId="0" applyNumberFormat="1" applyFill="1" applyBorder="1"/>
    <xf numFmtId="0" fontId="0" fillId="6" borderId="6" xfId="0" applyFill="1" applyBorder="1"/>
    <xf numFmtId="0" fontId="0" fillId="6" borderId="8" xfId="0" applyFill="1" applyBorder="1"/>
    <xf numFmtId="1" fontId="0" fillId="3" borderId="9" xfId="0" applyNumberFormat="1" applyFill="1" applyBorder="1"/>
    <xf numFmtId="0" fontId="0" fillId="0" borderId="10" xfId="0" applyBorder="1"/>
    <xf numFmtId="0" fontId="0" fillId="0" borderId="6" xfId="0" applyBorder="1"/>
    <xf numFmtId="2" fontId="0" fillId="0" borderId="7" xfId="0" applyNumberFormat="1" applyBorder="1"/>
    <xf numFmtId="2" fontId="0" fillId="0" borderId="10" xfId="0" applyNumberFormat="1" applyBorder="1"/>
    <xf numFmtId="0" fontId="12" fillId="0" borderId="0" xfId="0" applyFont="1" applyAlignment="1">
      <alignment horizontal="left" vertical="top" wrapText="1"/>
    </xf>
    <xf numFmtId="3" fontId="0" fillId="9" borderId="17" xfId="0" applyNumberFormat="1" applyFill="1" applyBorder="1" applyAlignment="1">
      <alignment vertical="center"/>
    </xf>
    <xf numFmtId="3" fontId="0" fillId="9" borderId="0" xfId="0" applyNumberFormat="1" applyFill="1"/>
    <xf numFmtId="0" fontId="0" fillId="9" borderId="29" xfId="0" applyFill="1" applyBorder="1" applyAlignment="1">
      <alignment horizontal="center" vertical="center" wrapText="1"/>
    </xf>
    <xf numFmtId="2" fontId="0" fillId="9" borderId="14" xfId="0" applyNumberFormat="1" applyFill="1" applyBorder="1" applyAlignment="1">
      <alignment horizontal="center" vertical="center"/>
    </xf>
    <xf numFmtId="4" fontId="0" fillId="9" borderId="14" xfId="0" applyNumberFormat="1" applyFill="1" applyBorder="1" applyAlignment="1">
      <alignment horizontal="center" vertical="center"/>
    </xf>
    <xf numFmtId="4" fontId="0" fillId="9" borderId="20" xfId="0" applyNumberFormat="1" applyFill="1" applyBorder="1" applyAlignment="1">
      <alignment horizontal="center" vertical="center"/>
    </xf>
    <xf numFmtId="0" fontId="0" fillId="9" borderId="23" xfId="0" applyFill="1" applyBorder="1" applyAlignment="1">
      <alignment horizontal="center" vertical="center" wrapText="1"/>
    </xf>
    <xf numFmtId="0" fontId="0" fillId="9" borderId="30" xfId="0" applyFill="1" applyBorder="1" applyAlignment="1">
      <alignment horizontal="center" vertical="center" wrapText="1"/>
    </xf>
    <xf numFmtId="0" fontId="0" fillId="9" borderId="14" xfId="0" applyFill="1" applyBorder="1" applyAlignment="1">
      <alignment horizontal="center" vertical="center" wrapText="1"/>
    </xf>
    <xf numFmtId="2" fontId="0" fillId="0" borderId="0" xfId="0" applyNumberFormat="1" applyAlignment="1">
      <alignment vertical="center"/>
    </xf>
    <xf numFmtId="0" fontId="1" fillId="0" borderId="0" xfId="0" applyFont="1" applyAlignment="1">
      <alignment vertical="center"/>
    </xf>
    <xf numFmtId="2" fontId="18" fillId="8" borderId="0" xfId="3" applyNumberFormat="1" applyAlignment="1">
      <alignment vertical="center"/>
    </xf>
    <xf numFmtId="0" fontId="0" fillId="6" borderId="0" xfId="0" applyFill="1" applyAlignment="1">
      <alignment vertical="center"/>
    </xf>
    <xf numFmtId="165" fontId="0" fillId="0" borderId="0" xfId="0" applyNumberFormat="1" applyAlignment="1">
      <alignment vertical="center"/>
    </xf>
    <xf numFmtId="165" fontId="18" fillId="8" borderId="0" xfId="3" applyNumberFormat="1" applyAlignment="1">
      <alignment vertical="center"/>
    </xf>
    <xf numFmtId="0" fontId="0" fillId="0" borderId="0" xfId="0"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0" fontId="0" fillId="0" borderId="5" xfId="0" applyBorder="1" applyAlignment="1">
      <alignment horizontal="center" vertical="center" wrapText="1"/>
    </xf>
    <xf numFmtId="3" fontId="0" fillId="6" borderId="34" xfId="0" applyNumberFormat="1" applyFill="1" applyBorder="1"/>
    <xf numFmtId="3" fontId="0" fillId="6" borderId="35" xfId="0" applyNumberFormat="1" applyFill="1" applyBorder="1"/>
    <xf numFmtId="3" fontId="0" fillId="9" borderId="35" xfId="0" applyNumberFormat="1" applyFill="1" applyBorder="1" applyAlignment="1">
      <alignment horizontal="center" vertical="center"/>
    </xf>
    <xf numFmtId="2" fontId="0" fillId="3" borderId="2" xfId="0" applyNumberFormat="1" applyFill="1" applyBorder="1"/>
    <xf numFmtId="3" fontId="1" fillId="0" borderId="34" xfId="0" applyNumberFormat="1" applyFont="1" applyBorder="1"/>
    <xf numFmtId="3" fontId="1" fillId="0" borderId="35" xfId="0" applyNumberFormat="1" applyFont="1" applyBorder="1"/>
    <xf numFmtId="2" fontId="0" fillId="0" borderId="35" xfId="0" applyNumberFormat="1" applyBorder="1"/>
    <xf numFmtId="165" fontId="0" fillId="3" borderId="2" xfId="0" applyNumberFormat="1" applyFill="1" applyBorder="1"/>
    <xf numFmtId="3" fontId="24" fillId="11" borderId="0" xfId="0" applyNumberFormat="1" applyFont="1" applyFill="1" applyAlignment="1">
      <alignment horizontal="center" vertical="center"/>
    </xf>
    <xf numFmtId="167" fontId="27" fillId="2" borderId="35" xfId="0" applyNumberFormat="1" applyFont="1" applyFill="1" applyBorder="1" applyAlignment="1">
      <alignment horizontal="center" vertical="center"/>
    </xf>
    <xf numFmtId="3" fontId="0" fillId="6" borderId="1" xfId="0" applyNumberFormat="1" applyFill="1" applyBorder="1"/>
    <xf numFmtId="3" fontId="0" fillId="6" borderId="1" xfId="0" applyNumberFormat="1" applyFill="1" applyBorder="1" applyAlignment="1">
      <alignment vertical="center"/>
    </xf>
    <xf numFmtId="0" fontId="6" fillId="0" borderId="0" xfId="0" applyFont="1" applyAlignment="1">
      <alignment horizontal="left" vertical="center" wrapText="1"/>
    </xf>
    <xf numFmtId="0" fontId="1" fillId="9" borderId="0" xfId="0" applyFont="1" applyFill="1"/>
    <xf numFmtId="0" fontId="0" fillId="0" borderId="4" xfId="0" applyBorder="1"/>
    <xf numFmtId="0" fontId="0" fillId="0" borderId="5" xfId="0" applyBorder="1"/>
    <xf numFmtId="0" fontId="1" fillId="0" borderId="0" xfId="0" applyFont="1" applyBorder="1"/>
    <xf numFmtId="0" fontId="0" fillId="0" borderId="8" xfId="0" applyBorder="1"/>
    <xf numFmtId="0" fontId="0" fillId="0" borderId="9" xfId="0" applyBorder="1"/>
    <xf numFmtId="0" fontId="28" fillId="9" borderId="1" xfId="0" applyFont="1" applyFill="1" applyBorder="1" applyAlignment="1">
      <alignment horizontal="center" vertical="center" wrapText="1"/>
    </xf>
    <xf numFmtId="0" fontId="0" fillId="12" borderId="6" xfId="0" applyFill="1" applyBorder="1"/>
    <xf numFmtId="1" fontId="0" fillId="12" borderId="0" xfId="0" applyNumberFormat="1" applyFill="1" applyBorder="1"/>
    <xf numFmtId="2" fontId="0" fillId="12" borderId="7" xfId="0" applyNumberFormat="1" applyFill="1" applyBorder="1"/>
    <xf numFmtId="0" fontId="0" fillId="12" borderId="8" xfId="0" applyFill="1" applyBorder="1"/>
    <xf numFmtId="1" fontId="0" fillId="12" borderId="9" xfId="0" applyNumberFormat="1" applyFill="1" applyBorder="1"/>
    <xf numFmtId="2" fontId="0" fillId="12" borderId="10" xfId="0" applyNumberFormat="1" applyFill="1" applyBorder="1"/>
    <xf numFmtId="3" fontId="0" fillId="13" borderId="0" xfId="0" applyNumberFormat="1" applyFill="1"/>
    <xf numFmtId="3" fontId="0" fillId="13" borderId="0" xfId="0" applyNumberFormat="1" applyFill="1" applyAlignment="1">
      <alignment horizontal="center" vertical="center"/>
    </xf>
    <xf numFmtId="166" fontId="0" fillId="13" borderId="0" xfId="1" applyNumberFormat="1" applyFont="1" applyFill="1" applyAlignment="1">
      <alignment horizontal="center" vertical="center"/>
    </xf>
    <xf numFmtId="2" fontId="29" fillId="14" borderId="1" xfId="0" applyNumberFormat="1" applyFont="1" applyFill="1" applyBorder="1"/>
    <xf numFmtId="0" fontId="1" fillId="0" borderId="14" xfId="0" applyFont="1" applyBorder="1"/>
    <xf numFmtId="3" fontId="1" fillId="0" borderId="14" xfId="0" applyNumberFormat="1" applyFont="1" applyBorder="1"/>
    <xf numFmtId="3" fontId="0" fillId="0" borderId="14" xfId="0" applyNumberFormat="1" applyBorder="1"/>
    <xf numFmtId="0" fontId="0" fillId="0" borderId="0" xfId="0" applyAlignment="1"/>
    <xf numFmtId="3" fontId="1" fillId="0" borderId="37" xfId="0" applyNumberFormat="1" applyFont="1" applyBorder="1"/>
    <xf numFmtId="0" fontId="0" fillId="0" borderId="3" xfId="0" applyBorder="1"/>
    <xf numFmtId="3" fontId="0" fillId="0" borderId="4" xfId="0" applyNumberFormat="1" applyBorder="1"/>
    <xf numFmtId="3" fontId="0" fillId="0" borderId="0" xfId="0" applyNumberFormat="1" applyBorder="1"/>
    <xf numFmtId="3" fontId="0" fillId="0" borderId="9" xfId="0" applyNumberFormat="1" applyBorder="1"/>
    <xf numFmtId="0" fontId="0" fillId="12" borderId="0" xfId="0" applyFill="1"/>
    <xf numFmtId="3" fontId="0" fillId="0" borderId="0" xfId="0" applyNumberFormat="1" applyAlignment="1"/>
    <xf numFmtId="3" fontId="28" fillId="0" borderId="1" xfId="0" applyNumberFormat="1" applyFont="1" applyBorder="1"/>
    <xf numFmtId="0" fontId="31" fillId="0" borderId="0" xfId="0" applyFont="1" applyAlignment="1">
      <alignment horizontal="left" vertical="center"/>
    </xf>
    <xf numFmtId="0" fontId="10" fillId="12" borderId="0" xfId="0" applyFont="1" applyFill="1" applyBorder="1" applyAlignment="1">
      <alignment wrapText="1"/>
    </xf>
    <xf numFmtId="2" fontId="0" fillId="0" borderId="0" xfId="0" applyNumberFormat="1" applyFill="1"/>
    <xf numFmtId="4" fontId="0" fillId="0" borderId="14" xfId="0" applyNumberFormat="1" applyBorder="1"/>
    <xf numFmtId="9" fontId="1" fillId="0" borderId="14" xfId="0" applyNumberFormat="1" applyFont="1" applyBorder="1"/>
    <xf numFmtId="3" fontId="0" fillId="12" borderId="0" xfId="0" applyNumberFormat="1" applyFill="1"/>
    <xf numFmtId="1" fontId="0" fillId="12" borderId="0" xfId="1" applyNumberFormat="1" applyFont="1" applyFill="1" applyAlignment="1">
      <alignment horizontal="center" vertical="center"/>
    </xf>
    <xf numFmtId="0" fontId="0" fillId="0" borderId="0" xfId="0" applyAlignment="1">
      <alignment horizontal="right"/>
    </xf>
    <xf numFmtId="0" fontId="1" fillId="0" borderId="0" xfId="0" applyFont="1" applyAlignment="1">
      <alignment horizontal="right"/>
    </xf>
    <xf numFmtId="0" fontId="1" fillId="0" borderId="0" xfId="0" applyFont="1" applyAlignment="1">
      <alignment wrapText="1"/>
    </xf>
    <xf numFmtId="43" fontId="0" fillId="0" borderId="0" xfId="1" applyFont="1"/>
    <xf numFmtId="168" fontId="0" fillId="0" borderId="0" xfId="4" applyNumberFormat="1" applyFont="1"/>
    <xf numFmtId="167" fontId="0" fillId="0" borderId="0" xfId="0" applyNumberFormat="1"/>
    <xf numFmtId="0" fontId="0" fillId="9" borderId="0" xfId="0" applyFill="1"/>
    <xf numFmtId="0" fontId="1" fillId="0" borderId="0" xfId="0" applyFont="1" applyAlignment="1"/>
    <xf numFmtId="0" fontId="0" fillId="0" borderId="14" xfId="0" applyBorder="1" applyAlignment="1">
      <alignment horizontal="right"/>
    </xf>
    <xf numFmtId="0" fontId="0" fillId="0" borderId="14" xfId="0" applyBorder="1" applyAlignment="1">
      <alignment horizontal="center" vertical="center"/>
    </xf>
    <xf numFmtId="166" fontId="33" fillId="15" borderId="35" xfId="1" applyNumberFormat="1" applyFont="1" applyFill="1" applyBorder="1" applyAlignment="1">
      <alignment horizontal="center" vertical="center"/>
    </xf>
    <xf numFmtId="3" fontId="1" fillId="6" borderId="14" xfId="0" applyNumberFormat="1" applyFont="1" applyFill="1" applyBorder="1"/>
    <xf numFmtId="0" fontId="1" fillId="17" borderId="14" xfId="0" applyFont="1" applyFill="1" applyBorder="1" applyAlignment="1">
      <alignment horizontal="center"/>
    </xf>
    <xf numFmtId="0" fontId="1" fillId="17" borderId="14" xfId="0" applyFont="1" applyFill="1" applyBorder="1" applyAlignment="1">
      <alignment horizontal="center" wrapText="1"/>
    </xf>
    <xf numFmtId="0" fontId="1" fillId="17" borderId="14" xfId="0" applyFont="1" applyFill="1" applyBorder="1"/>
    <xf numFmtId="0" fontId="1" fillId="19" borderId="14" xfId="0" applyFont="1" applyFill="1" applyBorder="1"/>
    <xf numFmtId="3" fontId="0" fillId="9" borderId="14" xfId="0" applyNumberFormat="1" applyFill="1" applyBorder="1" applyAlignment="1">
      <alignment horizontal="right"/>
    </xf>
    <xf numFmtId="4" fontId="0" fillId="0" borderId="14" xfId="0" applyNumberFormat="1" applyBorder="1" applyAlignment="1">
      <alignment horizontal="right"/>
    </xf>
    <xf numFmtId="10" fontId="0" fillId="9" borderId="14" xfId="0" applyNumberFormat="1" applyFill="1" applyBorder="1" applyAlignment="1">
      <alignment horizontal="right"/>
    </xf>
    <xf numFmtId="43" fontId="34" fillId="9" borderId="14" xfId="1" applyFont="1" applyFill="1" applyBorder="1"/>
    <xf numFmtId="10" fontId="1" fillId="9" borderId="14" xfId="4" applyNumberFormat="1" applyFont="1" applyFill="1" applyBorder="1"/>
    <xf numFmtId="0" fontId="0" fillId="0" borderId="14" xfId="0" applyBorder="1"/>
    <xf numFmtId="10" fontId="0" fillId="0" borderId="14" xfId="0" applyNumberFormat="1" applyBorder="1" applyAlignment="1">
      <alignment horizontal="right"/>
    </xf>
    <xf numFmtId="43" fontId="35" fillId="0" borderId="14" xfId="1" applyFont="1" applyBorder="1"/>
    <xf numFmtId="10" fontId="0" fillId="0" borderId="14" xfId="4" applyNumberFormat="1" applyFont="1" applyBorder="1"/>
    <xf numFmtId="3" fontId="0" fillId="0" borderId="14" xfId="0" applyNumberFormat="1" applyBorder="1" applyAlignment="1">
      <alignment horizontal="right"/>
    </xf>
    <xf numFmtId="0" fontId="1" fillId="3" borderId="14" xfId="0" applyFont="1" applyFill="1" applyBorder="1"/>
    <xf numFmtId="3" fontId="0" fillId="3" borderId="14" xfId="0" applyNumberFormat="1" applyFill="1" applyBorder="1" applyAlignment="1">
      <alignment horizontal="right"/>
    </xf>
    <xf numFmtId="10" fontId="0" fillId="3" borderId="14" xfId="0" applyNumberFormat="1" applyFill="1" applyBorder="1" applyAlignment="1">
      <alignment horizontal="right"/>
    </xf>
    <xf numFmtId="43" fontId="34" fillId="3" borderId="14" xfId="1" applyFont="1" applyFill="1" applyBorder="1"/>
    <xf numFmtId="0" fontId="0" fillId="2" borderId="14" xfId="0" applyFill="1" applyBorder="1" applyAlignment="1">
      <alignment horizontal="right"/>
    </xf>
    <xf numFmtId="10" fontId="0" fillId="2" borderId="14" xfId="0" applyNumberFormat="1" applyFill="1" applyBorder="1" applyAlignment="1">
      <alignment horizontal="right"/>
    </xf>
    <xf numFmtId="43" fontId="34" fillId="2" borderId="14" xfId="1" applyFont="1" applyFill="1" applyBorder="1"/>
    <xf numFmtId="0" fontId="1" fillId="18" borderId="14" xfId="0" applyFont="1" applyFill="1" applyBorder="1"/>
    <xf numFmtId="3" fontId="1" fillId="18" borderId="14" xfId="0" applyNumberFormat="1" applyFont="1" applyFill="1" applyBorder="1" applyAlignment="1">
      <alignment horizontal="right"/>
    </xf>
    <xf numFmtId="4" fontId="1" fillId="18" borderId="14" xfId="0" applyNumberFormat="1" applyFont="1" applyFill="1" applyBorder="1" applyAlignment="1">
      <alignment horizontal="right"/>
    </xf>
    <xf numFmtId="10" fontId="1" fillId="18" borderId="14" xfId="0" applyNumberFormat="1" applyFont="1" applyFill="1" applyBorder="1" applyAlignment="1">
      <alignment horizontal="right"/>
    </xf>
    <xf numFmtId="43" fontId="1" fillId="18" borderId="14" xfId="1" applyFont="1" applyFill="1" applyBorder="1" applyAlignment="1">
      <alignment wrapText="1"/>
    </xf>
    <xf numFmtId="0" fontId="1" fillId="18" borderId="14" xfId="0" applyFont="1" applyFill="1" applyBorder="1" applyAlignment="1">
      <alignment textRotation="59" wrapText="1"/>
    </xf>
    <xf numFmtId="10" fontId="1" fillId="3" borderId="14" xfId="4" applyNumberFormat="1" applyFont="1" applyFill="1" applyBorder="1"/>
    <xf numFmtId="10" fontId="1" fillId="2" borderId="14" xfId="4" applyNumberFormat="1" applyFont="1" applyFill="1" applyBorder="1"/>
    <xf numFmtId="0" fontId="1" fillId="2" borderId="14" xfId="0" applyFont="1" applyFill="1" applyBorder="1"/>
    <xf numFmtId="43" fontId="36" fillId="15" borderId="14" xfId="0" applyNumberFormat="1" applyFont="1" applyFill="1" applyBorder="1" applyAlignment="1">
      <alignment vertical="center"/>
    </xf>
    <xf numFmtId="0" fontId="36" fillId="15" borderId="0" xfId="0" applyFont="1" applyFill="1" applyAlignment="1">
      <alignment vertical="center"/>
    </xf>
    <xf numFmtId="43" fontId="27" fillId="15" borderId="0" xfId="1" applyNumberFormat="1" applyFont="1" applyFill="1" applyAlignment="1">
      <alignment horizontal="center" vertical="center"/>
    </xf>
    <xf numFmtId="2" fontId="28" fillId="15" borderId="0" xfId="0" applyNumberFormat="1" applyFont="1" applyFill="1" applyAlignment="1">
      <alignment vertical="center"/>
    </xf>
    <xf numFmtId="3" fontId="9" fillId="0" borderId="0" xfId="0" applyNumberFormat="1" applyFont="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2" fontId="37" fillId="14" borderId="1" xfId="0" applyNumberFormat="1" applyFont="1" applyFill="1" applyBorder="1"/>
    <xf numFmtId="0" fontId="0" fillId="0" borderId="0" xfId="0" applyFill="1"/>
    <xf numFmtId="0" fontId="0" fillId="16" borderId="35" xfId="0" applyFill="1" applyBorder="1" applyAlignment="1">
      <alignment wrapText="1"/>
    </xf>
    <xf numFmtId="0" fontId="0" fillId="6" borderId="35" xfId="0" applyFill="1" applyBorder="1"/>
    <xf numFmtId="0" fontId="0" fillId="3" borderId="35" xfId="0" applyFill="1" applyBorder="1"/>
    <xf numFmtId="0" fontId="38" fillId="14" borderId="1" xfId="0" applyFont="1" applyFill="1" applyBorder="1" applyAlignment="1">
      <alignment horizontal="center" vertical="center"/>
    </xf>
    <xf numFmtId="0" fontId="0" fillId="0" borderId="35" xfId="0" applyBorder="1"/>
    <xf numFmtId="43" fontId="0" fillId="0" borderId="18" xfId="1" applyFont="1" applyBorder="1" applyAlignment="1">
      <alignment horizontal="center" vertical="center"/>
    </xf>
    <xf numFmtId="0" fontId="0" fillId="0" borderId="39" xfId="0" applyBorder="1"/>
    <xf numFmtId="0" fontId="1" fillId="0" borderId="40" xfId="0" applyFont="1" applyBorder="1" applyAlignment="1">
      <alignment horizontal="center"/>
    </xf>
    <xf numFmtId="0" fontId="1" fillId="0" borderId="41" xfId="0" applyFont="1" applyBorder="1" applyAlignment="1">
      <alignment horizontal="center"/>
    </xf>
    <xf numFmtId="0" fontId="0" fillId="0" borderId="17" xfId="0" applyBorder="1" applyAlignment="1">
      <alignment horizontal="right"/>
    </xf>
    <xf numFmtId="3" fontId="0" fillId="2" borderId="14" xfId="0" applyNumberFormat="1" applyFill="1" applyBorder="1"/>
    <xf numFmtId="43" fontId="0" fillId="2" borderId="14" xfId="1" applyFont="1" applyFill="1" applyBorder="1"/>
    <xf numFmtId="170" fontId="0" fillId="0" borderId="14" xfId="4" applyNumberFormat="1" applyFont="1" applyBorder="1"/>
    <xf numFmtId="43" fontId="0" fillId="0" borderId="14" xfId="1" applyFont="1" applyBorder="1"/>
    <xf numFmtId="43" fontId="0" fillId="0" borderId="18" xfId="1" applyFont="1" applyBorder="1"/>
    <xf numFmtId="4" fontId="0" fillId="2" borderId="14" xfId="0" applyNumberFormat="1" applyFill="1" applyBorder="1"/>
    <xf numFmtId="0" fontId="0" fillId="0" borderId="19" xfId="0" applyBorder="1" applyAlignment="1">
      <alignment horizontal="right"/>
    </xf>
    <xf numFmtId="3" fontId="0" fillId="2" borderId="20" xfId="0" applyNumberFormat="1" applyFill="1" applyBorder="1"/>
    <xf numFmtId="4" fontId="0" fillId="2" borderId="20" xfId="0" applyNumberFormat="1" applyFill="1" applyBorder="1"/>
    <xf numFmtId="170" fontId="0" fillId="0" borderId="20" xfId="4" applyNumberFormat="1" applyFont="1" applyBorder="1"/>
    <xf numFmtId="43" fontId="0" fillId="0" borderId="20" xfId="1" applyFont="1" applyBorder="1"/>
    <xf numFmtId="43" fontId="0" fillId="0" borderId="21" xfId="1" applyFont="1" applyBorder="1"/>
    <xf numFmtId="0" fontId="1" fillId="0" borderId="14" xfId="0" applyFont="1" applyBorder="1" applyAlignment="1">
      <alignment vertical="center"/>
    </xf>
    <xf numFmtId="0" fontId="1" fillId="0" borderId="14" xfId="0" applyFont="1" applyBorder="1" applyAlignment="1">
      <alignment horizontal="center" vertical="center"/>
    </xf>
    <xf numFmtId="0" fontId="0" fillId="0" borderId="14" xfId="0" applyBorder="1" applyAlignment="1">
      <alignment vertical="center" wrapText="1"/>
    </xf>
    <xf numFmtId="164" fontId="0" fillId="0" borderId="14" xfId="0" applyNumberFormat="1" applyBorder="1" applyAlignment="1">
      <alignment horizontal="center" vertical="center"/>
    </xf>
    <xf numFmtId="164" fontId="0" fillId="0" borderId="14" xfId="0" applyNumberFormat="1" applyBorder="1" applyAlignment="1">
      <alignment vertical="center"/>
    </xf>
    <xf numFmtId="0" fontId="0" fillId="0" borderId="14" xfId="0" applyBorder="1" applyAlignment="1">
      <alignment vertical="center"/>
    </xf>
    <xf numFmtId="9" fontId="0" fillId="0" borderId="14" xfId="4" applyFont="1" applyBorder="1" applyAlignment="1">
      <alignment vertical="center"/>
    </xf>
    <xf numFmtId="3" fontId="1" fillId="0" borderId="14" xfId="0" applyNumberFormat="1" applyFont="1" applyBorder="1" applyAlignment="1">
      <alignment horizontal="center" vertical="center"/>
    </xf>
    <xf numFmtId="0" fontId="1" fillId="0" borderId="14" xfId="0" applyFont="1" applyBorder="1" applyAlignment="1">
      <alignment vertical="center" wrapText="1"/>
    </xf>
    <xf numFmtId="0" fontId="0" fillId="14" borderId="14" xfId="0" applyFill="1" applyBorder="1" applyAlignment="1">
      <alignment vertical="center" wrapText="1"/>
    </xf>
    <xf numFmtId="169" fontId="28" fillId="9" borderId="0" xfId="0" applyNumberFormat="1" applyFont="1" applyFill="1" applyAlignment="1">
      <alignment horizontal="center" vertical="center"/>
    </xf>
    <xf numFmtId="171" fontId="27" fillId="14" borderId="14" xfId="4" applyNumberFormat="1" applyFont="1" applyFill="1" applyBorder="1" applyAlignment="1">
      <alignment horizontal="center" vertical="center"/>
    </xf>
    <xf numFmtId="0" fontId="0" fillId="14" borderId="14" xfId="0" applyFill="1" applyBorder="1"/>
    <xf numFmtId="168" fontId="40" fillId="14" borderId="14" xfId="4" applyNumberFormat="1" applyFont="1" applyFill="1" applyBorder="1"/>
    <xf numFmtId="168" fontId="41" fillId="14" borderId="14" xfId="4" applyNumberFormat="1" applyFont="1" applyFill="1" applyBorder="1"/>
    <xf numFmtId="4" fontId="20" fillId="9" borderId="14" xfId="0" applyNumberFormat="1" applyFont="1" applyFill="1" applyBorder="1" applyAlignment="1">
      <alignment horizontal="center" vertical="center"/>
    </xf>
    <xf numFmtId="43" fontId="20" fillId="9" borderId="18" xfId="1" applyFont="1" applyFill="1" applyBorder="1" applyAlignment="1">
      <alignment horizontal="center" vertical="center"/>
    </xf>
    <xf numFmtId="4" fontId="20" fillId="9" borderId="14" xfId="3" applyNumberFormat="1" applyFont="1" applyFill="1" applyBorder="1" applyAlignment="1">
      <alignment horizontal="center" vertical="center"/>
    </xf>
    <xf numFmtId="43" fontId="0" fillId="9" borderId="21" xfId="1" applyFont="1" applyFill="1" applyBorder="1" applyAlignment="1">
      <alignment horizontal="center" vertical="center"/>
    </xf>
    <xf numFmtId="0" fontId="0" fillId="0" borderId="16" xfId="0" applyFill="1" applyBorder="1" applyAlignment="1">
      <alignment wrapText="1"/>
    </xf>
    <xf numFmtId="169" fontId="0" fillId="9" borderId="0" xfId="0" applyNumberFormat="1" applyFill="1" applyAlignment="1">
      <alignment horizontal="center" vertical="center"/>
    </xf>
    <xf numFmtId="43" fontId="1" fillId="0" borderId="0" xfId="1" applyFont="1"/>
    <xf numFmtId="172" fontId="0" fillId="0" borderId="0" xfId="1" applyNumberFormat="1" applyFont="1"/>
    <xf numFmtId="2" fontId="29" fillId="9" borderId="1" xfId="0" applyNumberFormat="1" applyFont="1" applyFill="1" applyBorder="1"/>
    <xf numFmtId="0" fontId="0" fillId="0" borderId="4" xfId="0" applyFill="1" applyBorder="1" applyAlignment="1">
      <alignment vertical="center" wrapText="1"/>
    </xf>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7" xfId="0" applyFill="1" applyBorder="1" applyAlignment="1">
      <alignment vertical="center" wrapText="1"/>
    </xf>
    <xf numFmtId="0" fontId="0" fillId="0" borderId="9" xfId="0" applyFill="1" applyBorder="1" applyAlignment="1">
      <alignment vertical="center" wrapText="1"/>
    </xf>
    <xf numFmtId="0" fontId="0" fillId="0" borderId="10" xfId="0" applyFill="1" applyBorder="1" applyAlignment="1">
      <alignment vertical="center" wrapText="1"/>
    </xf>
    <xf numFmtId="0" fontId="0" fillId="0" borderId="8" xfId="0" applyFill="1" applyBorder="1" applyAlignment="1">
      <alignment vertical="center" wrapText="1"/>
    </xf>
    <xf numFmtId="3" fontId="43" fillId="20" borderId="0" xfId="0" applyNumberFormat="1" applyFont="1" applyFill="1" applyAlignment="1">
      <alignment horizontal="center" vertical="center"/>
    </xf>
    <xf numFmtId="3" fontId="1" fillId="9" borderId="0" xfId="0" applyNumberFormat="1" applyFont="1" applyFill="1"/>
    <xf numFmtId="0" fontId="44" fillId="0" borderId="5" xfId="0" applyFont="1" applyBorder="1" applyAlignment="1">
      <alignment vertical="center" wrapText="1"/>
    </xf>
    <xf numFmtId="0" fontId="44" fillId="0" borderId="0" xfId="0" applyFont="1" applyAlignment="1">
      <alignment horizontal="center" vertical="center"/>
    </xf>
    <xf numFmtId="0" fontId="44" fillId="0" borderId="6" xfId="0" applyFont="1" applyBorder="1" applyAlignment="1">
      <alignment horizontal="center" vertical="center" textRotation="90" wrapText="1"/>
    </xf>
    <xf numFmtId="0" fontId="44" fillId="0" borderId="0" xfId="0" applyFont="1" applyAlignment="1">
      <alignment horizontal="center" vertical="center" textRotation="90" wrapText="1"/>
    </xf>
    <xf numFmtId="0" fontId="44" fillId="0" borderId="7" xfId="0" applyFont="1" applyBorder="1" applyAlignment="1">
      <alignment horizontal="center" vertical="center" textRotation="90" wrapText="1"/>
    </xf>
    <xf numFmtId="0" fontId="44" fillId="0" borderId="34" xfId="0" applyFont="1" applyBorder="1" applyAlignment="1">
      <alignment vertical="center"/>
    </xf>
    <xf numFmtId="0" fontId="44" fillId="0" borderId="1" xfId="0" applyFont="1" applyBorder="1" applyAlignment="1">
      <alignment horizontal="center" vertical="center"/>
    </xf>
    <xf numFmtId="0" fontId="44" fillId="0" borderId="2" xfId="0" applyFont="1" applyBorder="1" applyAlignment="1">
      <alignment horizontal="center" vertical="center"/>
    </xf>
    <xf numFmtId="3" fontId="44" fillId="0" borderId="2" xfId="0" applyNumberFormat="1" applyFont="1" applyBorder="1" applyAlignment="1">
      <alignment horizontal="center" vertical="center"/>
    </xf>
    <xf numFmtId="0" fontId="44" fillId="0" borderId="8" xfId="0" applyFont="1" applyBorder="1" applyAlignment="1">
      <alignment vertical="center"/>
    </xf>
    <xf numFmtId="3" fontId="44" fillId="0" borderId="13" xfId="0" applyNumberFormat="1" applyFont="1" applyBorder="1" applyAlignment="1">
      <alignment horizontal="center" vertical="center"/>
    </xf>
    <xf numFmtId="0" fontId="44" fillId="0" borderId="10" xfId="0" applyFont="1" applyBorder="1" applyAlignment="1">
      <alignment horizontal="center" vertical="center"/>
    </xf>
    <xf numFmtId="3" fontId="44" fillId="0" borderId="10" xfId="0" applyNumberFormat="1" applyFont="1" applyBorder="1" applyAlignment="1">
      <alignment horizontal="center" vertical="center"/>
    </xf>
    <xf numFmtId="0" fontId="44" fillId="0" borderId="13" xfId="0" applyFont="1" applyBorder="1" applyAlignment="1">
      <alignment horizontal="center" vertical="center"/>
    </xf>
    <xf numFmtId="0" fontId="44" fillId="21" borderId="8" xfId="0" applyFont="1" applyFill="1" applyBorder="1" applyAlignment="1">
      <alignment vertical="center"/>
    </xf>
    <xf numFmtId="3" fontId="44" fillId="21" borderId="13" xfId="0" applyNumberFormat="1" applyFont="1" applyFill="1" applyBorder="1" applyAlignment="1">
      <alignment horizontal="center" vertical="center"/>
    </xf>
    <xf numFmtId="0" fontId="44" fillId="21" borderId="10" xfId="0" applyFont="1" applyFill="1" applyBorder="1" applyAlignment="1">
      <alignment horizontal="center" vertical="center"/>
    </xf>
    <xf numFmtId="3" fontId="44" fillId="21" borderId="10" xfId="0" applyNumberFormat="1" applyFont="1" applyFill="1" applyBorder="1" applyAlignment="1">
      <alignment horizontal="center" vertical="center"/>
    </xf>
    <xf numFmtId="0" fontId="44" fillId="21" borderId="8" xfId="0" applyFont="1" applyFill="1" applyBorder="1" applyAlignment="1">
      <alignment vertical="center" wrapText="1"/>
    </xf>
    <xf numFmtId="0" fontId="44" fillId="21" borderId="13" xfId="0" applyFont="1" applyFill="1" applyBorder="1" applyAlignment="1">
      <alignment horizontal="center" vertical="center" wrapText="1"/>
    </xf>
    <xf numFmtId="0" fontId="44" fillId="21" borderId="10" xfId="0" applyFont="1" applyFill="1" applyBorder="1" applyAlignment="1">
      <alignment horizontal="center" vertical="center" wrapText="1"/>
    </xf>
    <xf numFmtId="3" fontId="44" fillId="6" borderId="0" xfId="0" applyNumberFormat="1" applyFont="1" applyFill="1" applyAlignment="1">
      <alignment horizontal="right" vertical="center"/>
    </xf>
    <xf numFmtId="0" fontId="27" fillId="0" borderId="0" xfId="0" applyFont="1" applyAlignment="1">
      <alignment horizontal="center" vertical="center"/>
    </xf>
    <xf numFmtId="0" fontId="45" fillId="22" borderId="45" xfId="0" applyFont="1" applyFill="1" applyBorder="1" applyAlignment="1">
      <alignment horizontal="center" vertical="center" wrapText="1"/>
    </xf>
    <xf numFmtId="0" fontId="46" fillId="22" borderId="46" xfId="0" applyFont="1" applyFill="1" applyBorder="1" applyAlignment="1">
      <alignment horizontal="center" vertical="center" wrapText="1"/>
    </xf>
    <xf numFmtId="0" fontId="34" fillId="0" borderId="47" xfId="0" applyFont="1" applyBorder="1" applyAlignment="1">
      <alignment horizontal="center" vertical="center" wrapText="1"/>
    </xf>
    <xf numFmtId="0" fontId="9" fillId="0" borderId="48" xfId="0" applyFont="1" applyBorder="1" applyAlignment="1">
      <alignment vertical="center" wrapText="1"/>
    </xf>
    <xf numFmtId="0" fontId="45" fillId="0" borderId="48" xfId="0" applyFont="1" applyBorder="1" applyAlignment="1">
      <alignment horizontal="center" vertical="center" wrapText="1"/>
    </xf>
    <xf numFmtId="0" fontId="47" fillId="0" borderId="0" xfId="0" applyFont="1" applyAlignment="1">
      <alignment horizontal="justify" vertical="center"/>
    </xf>
    <xf numFmtId="0" fontId="0" fillId="0" borderId="0" xfId="0" applyFill="1" applyAlignment="1">
      <alignment horizontal="center" vertical="center"/>
    </xf>
    <xf numFmtId="0" fontId="9" fillId="9" borderId="48" xfId="0" applyFont="1" applyFill="1" applyBorder="1" applyAlignment="1">
      <alignment vertical="center" wrapText="1"/>
    </xf>
    <xf numFmtId="0" fontId="45" fillId="9" borderId="48" xfId="0" applyFont="1" applyFill="1" applyBorder="1" applyAlignment="1">
      <alignment horizontal="center" vertical="center" wrapText="1"/>
    </xf>
    <xf numFmtId="0" fontId="44" fillId="9" borderId="48" xfId="0" applyFont="1" applyFill="1" applyBorder="1" applyAlignment="1">
      <alignment vertical="center" wrapText="1"/>
    </xf>
    <xf numFmtId="0" fontId="45" fillId="6" borderId="48" xfId="0" applyFont="1" applyFill="1" applyBorder="1" applyAlignment="1">
      <alignment horizontal="center" vertical="center" wrapText="1"/>
    </xf>
    <xf numFmtId="0" fontId="49" fillId="0" borderId="34" xfId="0" applyFont="1" applyBorder="1" applyAlignment="1">
      <alignment horizontal="center" vertical="center"/>
    </xf>
    <xf numFmtId="0" fontId="51" fillId="23" borderId="49" xfId="0" applyFont="1" applyFill="1" applyBorder="1" applyAlignment="1">
      <alignment vertical="center" wrapText="1"/>
    </xf>
    <xf numFmtId="0" fontId="51" fillId="23" borderId="50" xfId="0" applyFont="1" applyFill="1" applyBorder="1" applyAlignment="1">
      <alignment horizontal="center" vertical="center" wrapText="1"/>
    </xf>
    <xf numFmtId="0" fontId="51" fillId="23" borderId="49" xfId="0" applyFont="1" applyFill="1" applyBorder="1" applyAlignment="1">
      <alignment horizontal="center" vertical="center" wrapText="1"/>
    </xf>
    <xf numFmtId="0" fontId="12" fillId="24" borderId="47" xfId="0" applyFont="1" applyFill="1" applyBorder="1" applyAlignment="1">
      <alignment horizontal="center" vertical="center" wrapText="1"/>
    </xf>
    <xf numFmtId="0" fontId="2" fillId="24" borderId="48" xfId="0" applyFont="1" applyFill="1" applyBorder="1" applyAlignment="1">
      <alignment horizontal="right" vertical="center" wrapText="1"/>
    </xf>
    <xf numFmtId="0" fontId="2" fillId="24" borderId="48" xfId="0" applyFont="1" applyFill="1" applyBorder="1" applyAlignment="1">
      <alignment horizontal="center" vertical="center" wrapText="1"/>
    </xf>
    <xf numFmtId="10" fontId="2" fillId="24" borderId="48" xfId="0" applyNumberFormat="1" applyFont="1" applyFill="1" applyBorder="1" applyAlignment="1">
      <alignment horizontal="center" vertical="center" wrapText="1"/>
    </xf>
    <xf numFmtId="173" fontId="0" fillId="0" borderId="0" xfId="1" applyNumberFormat="1" applyFont="1"/>
    <xf numFmtId="173" fontId="1" fillId="0" borderId="0" xfId="0" applyNumberFormat="1" applyFont="1"/>
    <xf numFmtId="10" fontId="1" fillId="0" borderId="0" xfId="4" applyNumberFormat="1" applyFont="1"/>
    <xf numFmtId="173" fontId="0" fillId="0" borderId="0" xfId="0" applyNumberFormat="1"/>
    <xf numFmtId="0" fontId="52" fillId="0" borderId="47" xfId="0" applyFont="1" applyBorder="1" applyAlignment="1">
      <alignment horizontal="center" vertical="center" wrapText="1"/>
    </xf>
    <xf numFmtId="0" fontId="3" fillId="0" borderId="48" xfId="0" applyFont="1" applyBorder="1" applyAlignment="1">
      <alignment horizontal="center" vertical="center" wrapText="1"/>
    </xf>
    <xf numFmtId="10" fontId="3" fillId="0" borderId="48" xfId="0" applyNumberFormat="1" applyFont="1" applyBorder="1" applyAlignment="1">
      <alignment horizontal="center" vertical="center" wrapText="1"/>
    </xf>
    <xf numFmtId="10" fontId="0" fillId="0" borderId="0" xfId="4" applyNumberFormat="1" applyFont="1"/>
    <xf numFmtId="0" fontId="12" fillId="25" borderId="47" xfId="0" applyFont="1" applyFill="1" applyBorder="1" applyAlignment="1">
      <alignment horizontal="center" vertical="center" wrapText="1"/>
    </xf>
    <xf numFmtId="0" fontId="12" fillId="25" borderId="48" xfId="0" applyFont="1" applyFill="1" applyBorder="1" applyAlignment="1">
      <alignment horizontal="right" vertical="center" wrapText="1"/>
    </xf>
    <xf numFmtId="0" fontId="12" fillId="25" borderId="48" xfId="0" applyFont="1" applyFill="1" applyBorder="1" applyAlignment="1">
      <alignment horizontal="center" vertical="center" wrapText="1"/>
    </xf>
    <xf numFmtId="10" fontId="12" fillId="25" borderId="48" xfId="0" applyNumberFormat="1" applyFont="1" applyFill="1" applyBorder="1" applyAlignment="1">
      <alignment horizontal="center" vertical="center" wrapText="1"/>
    </xf>
    <xf numFmtId="0" fontId="52" fillId="0" borderId="48" xfId="0" applyFont="1" applyBorder="1" applyAlignment="1">
      <alignment horizontal="center" vertical="center" wrapText="1"/>
    </xf>
    <xf numFmtId="10" fontId="52" fillId="0" borderId="48" xfId="0" applyNumberFormat="1" applyFont="1" applyBorder="1" applyAlignment="1">
      <alignment horizontal="center" vertical="center" wrapText="1"/>
    </xf>
    <xf numFmtId="0" fontId="52" fillId="0" borderId="48" xfId="0" applyFont="1" applyBorder="1" applyAlignment="1">
      <alignment horizontal="right" vertical="center" wrapText="1"/>
    </xf>
    <xf numFmtId="0" fontId="12" fillId="9" borderId="47" xfId="0" applyFont="1" applyFill="1" applyBorder="1" applyAlignment="1">
      <alignment horizontal="center" vertical="center" wrapText="1"/>
    </xf>
    <xf numFmtId="0" fontId="12" fillId="9" borderId="48" xfId="0" applyFont="1" applyFill="1" applyBorder="1" applyAlignment="1">
      <alignment horizontal="center" vertical="center" wrapText="1"/>
    </xf>
    <xf numFmtId="10" fontId="12" fillId="9" borderId="48" xfId="0" applyNumberFormat="1" applyFont="1" applyFill="1" applyBorder="1" applyAlignment="1">
      <alignment horizontal="center" vertical="center" wrapText="1"/>
    </xf>
    <xf numFmtId="0" fontId="53" fillId="23" borderId="47" xfId="0" applyFont="1" applyFill="1" applyBorder="1" applyAlignment="1">
      <alignment horizontal="center" vertical="center" wrapText="1"/>
    </xf>
    <xf numFmtId="0" fontId="53" fillId="23" borderId="48" xfId="0" applyFont="1" applyFill="1" applyBorder="1" applyAlignment="1">
      <alignment horizontal="right" vertical="center" wrapText="1"/>
    </xf>
    <xf numFmtId="0" fontId="53" fillId="23" borderId="48" xfId="0" applyFont="1" applyFill="1" applyBorder="1" applyAlignment="1">
      <alignment horizontal="left" vertical="center" wrapText="1" indent="1"/>
    </xf>
    <xf numFmtId="10" fontId="54" fillId="23" borderId="48" xfId="0" applyNumberFormat="1" applyFont="1" applyFill="1" applyBorder="1" applyAlignment="1">
      <alignment horizontal="center" vertical="center" wrapText="1"/>
    </xf>
    <xf numFmtId="0" fontId="51" fillId="23" borderId="47" xfId="0" applyFont="1" applyFill="1" applyBorder="1" applyAlignment="1">
      <alignment horizontal="center" vertical="center" wrapText="1"/>
    </xf>
    <xf numFmtId="0" fontId="51" fillId="23" borderId="48" xfId="0" applyFont="1" applyFill="1" applyBorder="1" applyAlignment="1">
      <alignment horizontal="center" vertical="center" wrapText="1"/>
    </xf>
    <xf numFmtId="0" fontId="51" fillId="23" borderId="47" xfId="0" applyFont="1" applyFill="1" applyBorder="1" applyAlignment="1">
      <alignment vertical="center" wrapText="1"/>
    </xf>
    <xf numFmtId="3" fontId="2" fillId="24" borderId="48" xfId="0" applyNumberFormat="1" applyFont="1" applyFill="1" applyBorder="1" applyAlignment="1">
      <alignment horizontal="center" vertical="center" wrapText="1"/>
    </xf>
    <xf numFmtId="4" fontId="2" fillId="24" borderId="48" xfId="0" applyNumberFormat="1" applyFont="1" applyFill="1" applyBorder="1" applyAlignment="1">
      <alignment horizontal="center" vertical="center" wrapText="1"/>
    </xf>
    <xf numFmtId="4" fontId="3" fillId="0" borderId="48" xfId="0" applyNumberFormat="1" applyFont="1" applyBorder="1" applyAlignment="1">
      <alignment horizontal="center" vertical="center" wrapText="1"/>
    </xf>
    <xf numFmtId="3" fontId="3" fillId="0" borderId="48" xfId="0" applyNumberFormat="1" applyFont="1" applyBorder="1" applyAlignment="1">
      <alignment horizontal="center" vertical="center" wrapText="1"/>
    </xf>
    <xf numFmtId="3" fontId="12" fillId="25" borderId="48" xfId="0" applyNumberFormat="1" applyFont="1" applyFill="1" applyBorder="1" applyAlignment="1">
      <alignment horizontal="center" vertical="center" wrapText="1"/>
    </xf>
    <xf numFmtId="4" fontId="12" fillId="25" borderId="48" xfId="0" applyNumberFormat="1" applyFont="1" applyFill="1" applyBorder="1" applyAlignment="1">
      <alignment horizontal="center" vertical="center" wrapText="1"/>
    </xf>
    <xf numFmtId="4" fontId="52" fillId="0" borderId="48" xfId="0" applyNumberFormat="1" applyFont="1" applyBorder="1" applyAlignment="1">
      <alignment horizontal="center" vertical="center" wrapText="1"/>
    </xf>
    <xf numFmtId="3" fontId="52" fillId="0" borderId="48" xfId="0" applyNumberFormat="1" applyFont="1" applyBorder="1" applyAlignment="1">
      <alignment horizontal="center" vertical="center" wrapText="1"/>
    </xf>
    <xf numFmtId="4" fontId="12" fillId="9" borderId="48" xfId="0" applyNumberFormat="1" applyFont="1" applyFill="1" applyBorder="1" applyAlignment="1">
      <alignment horizontal="center" vertical="center" wrapText="1"/>
    </xf>
    <xf numFmtId="4" fontId="53" fillId="23" borderId="51" xfId="0" applyNumberFormat="1" applyFont="1" applyFill="1" applyBorder="1" applyAlignment="1">
      <alignment horizontal="left" vertical="center" wrapText="1" indent="4"/>
    </xf>
    <xf numFmtId="0" fontId="53" fillId="23" borderId="48" xfId="0" applyFont="1" applyFill="1" applyBorder="1" applyAlignment="1">
      <alignment horizontal="left" vertical="center" wrapText="1" indent="3"/>
    </xf>
    <xf numFmtId="43" fontId="0" fillId="9" borderId="18" xfId="1" applyFont="1" applyFill="1" applyBorder="1" applyAlignment="1">
      <alignment horizontal="center" vertical="center"/>
    </xf>
    <xf numFmtId="43" fontId="23" fillId="9" borderId="18" xfId="1" applyFont="1" applyFill="1" applyBorder="1" applyAlignment="1">
      <alignment horizontal="center" vertical="center"/>
    </xf>
    <xf numFmtId="0" fontId="0" fillId="0" borderId="0" xfId="0" applyAlignment="1">
      <alignment horizontal="center"/>
    </xf>
    <xf numFmtId="3" fontId="40" fillId="20" borderId="14" xfId="0" applyNumberFormat="1" applyFont="1" applyFill="1" applyBorder="1"/>
    <xf numFmtId="3" fontId="1" fillId="0" borderId="14" xfId="0" applyNumberFormat="1" applyFont="1" applyBorder="1"/>
    <xf numFmtId="0" fontId="0" fillId="16" borderId="3" xfId="0" applyFill="1" applyBorder="1" applyAlignment="1">
      <alignment vertical="center" wrapText="1"/>
    </xf>
    <xf numFmtId="0" fontId="0" fillId="16" borderId="4" xfId="0" applyFill="1" applyBorder="1" applyAlignment="1">
      <alignment vertical="center" wrapText="1"/>
    </xf>
    <xf numFmtId="0" fontId="0" fillId="16" borderId="5" xfId="0" applyFill="1" applyBorder="1" applyAlignment="1">
      <alignment vertical="center" wrapText="1"/>
    </xf>
    <xf numFmtId="0" fontId="0" fillId="16" borderId="6" xfId="0" applyFill="1" applyBorder="1" applyAlignment="1">
      <alignment vertical="center" wrapText="1"/>
    </xf>
    <xf numFmtId="0" fontId="0" fillId="16" borderId="0" xfId="0" applyFill="1" applyBorder="1" applyAlignment="1">
      <alignment vertical="center" wrapText="1"/>
    </xf>
    <xf numFmtId="0" fontId="0" fillId="16" borderId="7" xfId="0" applyFill="1" applyBorder="1" applyAlignment="1">
      <alignment vertical="center" wrapText="1"/>
    </xf>
    <xf numFmtId="0" fontId="0" fillId="16" borderId="8" xfId="0" applyFill="1" applyBorder="1" applyAlignment="1">
      <alignment vertical="center" wrapText="1"/>
    </xf>
    <xf numFmtId="0" fontId="0" fillId="16" borderId="9" xfId="0" applyFill="1" applyBorder="1" applyAlignment="1">
      <alignment vertical="center" wrapText="1"/>
    </xf>
    <xf numFmtId="0" fontId="0" fillId="16" borderId="10" xfId="0" applyFill="1" applyBorder="1" applyAlignment="1">
      <alignment vertical="center" wrapText="1"/>
    </xf>
    <xf numFmtId="3" fontId="0" fillId="0" borderId="0" xfId="0" applyNumberFormat="1" applyAlignment="1">
      <alignment horizontal="center"/>
    </xf>
    <xf numFmtId="0" fontId="6" fillId="0" borderId="0" xfId="0" applyFont="1" applyAlignment="1">
      <alignment horizontal="left" vertical="center" wrapText="1"/>
    </xf>
    <xf numFmtId="0" fontId="17" fillId="7" borderId="12" xfId="2" applyBorder="1" applyAlignment="1">
      <alignment horizontal="left" wrapText="1"/>
    </xf>
    <xf numFmtId="0" fontId="17" fillId="7" borderId="12" xfId="2" applyBorder="1" applyAlignment="1">
      <alignment horizontal="center" vertical="top" wrapText="1"/>
    </xf>
    <xf numFmtId="0" fontId="17" fillId="7" borderId="13" xfId="2" applyBorder="1" applyAlignment="1">
      <alignment horizontal="center" vertical="top" wrapText="1"/>
    </xf>
    <xf numFmtId="0" fontId="4" fillId="0" borderId="6" xfId="0" applyFont="1" applyBorder="1" applyAlignment="1">
      <alignment horizontal="right" vertical="center" wrapText="1"/>
    </xf>
    <xf numFmtId="0" fontId="0" fillId="0" borderId="0" xfId="0" applyAlignment="1">
      <alignment horizontal="center"/>
    </xf>
    <xf numFmtId="0" fontId="17" fillId="7" borderId="12" xfId="2" applyBorder="1" applyAlignment="1">
      <alignment horizontal="left" vertical="center" wrapText="1"/>
    </xf>
    <xf numFmtId="0" fontId="17" fillId="7" borderId="12" xfId="2" applyBorder="1" applyAlignment="1">
      <alignment horizontal="left" vertical="top" wrapText="1"/>
    </xf>
    <xf numFmtId="0" fontId="17" fillId="7" borderId="13" xfId="2" applyBorder="1" applyAlignment="1">
      <alignment horizontal="left" wrapText="1"/>
    </xf>
    <xf numFmtId="0" fontId="3" fillId="16" borderId="3" xfId="0" applyFont="1" applyFill="1" applyBorder="1" applyAlignment="1">
      <alignment vertical="center" wrapText="1"/>
    </xf>
    <xf numFmtId="0" fontId="3" fillId="16" borderId="5" xfId="0" applyFont="1" applyFill="1" applyBorder="1" applyAlignment="1">
      <alignment vertical="center" wrapText="1"/>
    </xf>
    <xf numFmtId="0" fontId="3" fillId="16" borderId="6" xfId="0" applyFont="1" applyFill="1" applyBorder="1" applyAlignment="1">
      <alignment vertical="center" wrapText="1"/>
    </xf>
    <xf numFmtId="0" fontId="3" fillId="16" borderId="7" xfId="0" applyFont="1" applyFill="1" applyBorder="1" applyAlignment="1">
      <alignment vertical="center" wrapText="1"/>
    </xf>
    <xf numFmtId="0" fontId="3" fillId="16" borderId="8" xfId="0" applyFont="1" applyFill="1" applyBorder="1" applyAlignment="1">
      <alignment vertical="center" wrapText="1"/>
    </xf>
    <xf numFmtId="0" fontId="3" fillId="16" borderId="10" xfId="0" applyFont="1" applyFill="1" applyBorder="1" applyAlignment="1">
      <alignment vertical="center" wrapText="1"/>
    </xf>
    <xf numFmtId="0" fontId="0" fillId="0" borderId="14" xfId="0" applyBorder="1" applyAlignment="1"/>
    <xf numFmtId="0" fontId="1" fillId="0" borderId="14" xfId="0" applyFont="1" applyBorder="1" applyAlignment="1">
      <alignment horizontal="center"/>
    </xf>
    <xf numFmtId="0" fontId="1" fillId="0" borderId="14" xfId="0" applyFont="1" applyBorder="1" applyAlignment="1">
      <alignment horizontal="center" wrapText="1"/>
    </xf>
    <xf numFmtId="0" fontId="0" fillId="6" borderId="14" xfId="0" applyFill="1" applyBorder="1" applyAlignment="1"/>
    <xf numFmtId="0" fontId="1" fillId="0" borderId="0" xfId="0" applyFont="1" applyBorder="1" applyAlignment="1">
      <alignment horizontal="center"/>
    </xf>
    <xf numFmtId="3" fontId="1" fillId="0" borderId="14" xfId="0" applyNumberFormat="1" applyFont="1" applyBorder="1" applyAlignment="1">
      <alignment wrapText="1"/>
    </xf>
    <xf numFmtId="0" fontId="6" fillId="9" borderId="14" xfId="0" applyFont="1" applyFill="1" applyBorder="1" applyAlignment="1">
      <alignment vertical="center"/>
    </xf>
    <xf numFmtId="0" fontId="6" fillId="0" borderId="14" xfId="0" applyFont="1" applyBorder="1" applyAlignment="1">
      <alignment vertical="center"/>
    </xf>
    <xf numFmtId="0" fontId="10" fillId="0" borderId="0" xfId="0" applyFont="1" applyAlignment="1">
      <alignment horizontal="center"/>
    </xf>
    <xf numFmtId="0" fontId="0" fillId="0" borderId="0" xfId="0" applyAlignment="1">
      <alignment vertical="center" wrapText="1"/>
    </xf>
    <xf numFmtId="0" fontId="0" fillId="0" borderId="38" xfId="0" applyBorder="1" applyAlignment="1">
      <alignment vertical="center" wrapText="1"/>
    </xf>
    <xf numFmtId="0" fontId="12" fillId="0" borderId="0" xfId="0" applyFont="1" applyAlignment="1">
      <alignment horizontal="center" vertical="center"/>
    </xf>
    <xf numFmtId="0" fontId="53" fillId="23" borderId="49" xfId="0" applyFont="1" applyFill="1" applyBorder="1" applyAlignment="1">
      <alignment horizontal="center" vertical="center" wrapText="1"/>
    </xf>
    <xf numFmtId="0" fontId="53" fillId="23" borderId="47" xfId="0" applyFont="1" applyFill="1" applyBorder="1" applyAlignment="1">
      <alignment horizontal="center" vertical="center" wrapText="1"/>
    </xf>
    <xf numFmtId="3" fontId="53" fillId="23" borderId="49" xfId="0" applyNumberFormat="1" applyFont="1" applyFill="1" applyBorder="1" applyAlignment="1">
      <alignment horizontal="center" vertical="center" wrapText="1"/>
    </xf>
    <xf numFmtId="3" fontId="53" fillId="23" borderId="47" xfId="0" applyNumberFormat="1" applyFont="1" applyFill="1" applyBorder="1" applyAlignment="1">
      <alignment horizontal="center" vertical="center" wrapText="1"/>
    </xf>
    <xf numFmtId="10" fontId="54" fillId="23" borderId="49" xfId="0" applyNumberFormat="1" applyFont="1" applyFill="1" applyBorder="1" applyAlignment="1">
      <alignment horizontal="center" vertical="center" wrapText="1"/>
    </xf>
    <xf numFmtId="10" fontId="54" fillId="23" borderId="47" xfId="0" applyNumberFormat="1" applyFont="1" applyFill="1" applyBorder="1" applyAlignment="1">
      <alignment horizontal="center" vertical="center" wrapText="1"/>
    </xf>
    <xf numFmtId="0" fontId="32" fillId="0" borderId="34" xfId="0" applyFont="1" applyBorder="1" applyAlignment="1">
      <alignment horizontal="center" vertical="center"/>
    </xf>
    <xf numFmtId="0" fontId="32" fillId="0" borderId="35" xfId="0" applyFont="1" applyBorder="1" applyAlignment="1">
      <alignment horizontal="center" vertical="center"/>
    </xf>
    <xf numFmtId="0" fontId="32" fillId="0" borderId="2" xfId="0" applyFont="1" applyBorder="1" applyAlignment="1">
      <alignment horizontal="center" vertical="center"/>
    </xf>
    <xf numFmtId="0" fontId="49" fillId="17" borderId="11" xfId="0" applyFont="1" applyFill="1" applyBorder="1" applyAlignment="1">
      <alignment horizontal="center" vertical="center"/>
    </xf>
    <xf numFmtId="0" fontId="49" fillId="17" borderId="13" xfId="0" applyFont="1" applyFill="1" applyBorder="1" applyAlignment="1">
      <alignment horizontal="center" vertical="center"/>
    </xf>
    <xf numFmtId="0" fontId="47" fillId="0" borderId="0" xfId="0" applyFont="1" applyAlignment="1">
      <alignment horizontal="left" vertical="center"/>
    </xf>
    <xf numFmtId="0" fontId="48" fillId="0" borderId="0" xfId="0" applyFont="1" applyAlignment="1">
      <alignment vertical="center" wrapText="1"/>
    </xf>
    <xf numFmtId="0" fontId="0" fillId="9" borderId="0" xfId="0" applyFill="1" applyAlignment="1">
      <alignment horizontal="center" vertical="center"/>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42" xfId="0" applyFont="1" applyBorder="1" applyAlignment="1">
      <alignment horizontal="center" vertical="center" wrapText="1"/>
    </xf>
    <xf numFmtId="0" fontId="44" fillId="0" borderId="43" xfId="0" applyFont="1" applyBorder="1" applyAlignment="1">
      <alignment horizontal="center" vertical="center" wrapText="1"/>
    </xf>
    <xf numFmtId="3" fontId="44" fillId="21" borderId="11" xfId="0" applyNumberFormat="1" applyFont="1" applyFill="1" applyBorder="1" applyAlignment="1">
      <alignment horizontal="center" vertical="center"/>
    </xf>
    <xf numFmtId="3" fontId="44" fillId="21" borderId="44" xfId="0" applyNumberFormat="1" applyFont="1" applyFill="1" applyBorder="1" applyAlignment="1">
      <alignment horizontal="center" vertical="center"/>
    </xf>
    <xf numFmtId="0" fontId="44" fillId="2" borderId="0" xfId="0" applyFont="1" applyFill="1" applyAlignment="1">
      <alignment horizontal="center" vertical="center"/>
    </xf>
    <xf numFmtId="0" fontId="6" fillId="0" borderId="0" xfId="0" applyFont="1" applyAlignment="1">
      <alignment horizontal="center" vertical="center" wrapText="1"/>
    </xf>
    <xf numFmtId="0" fontId="17" fillId="7" borderId="6" xfId="2" applyBorder="1" applyAlignment="1">
      <alignment horizontal="left" vertical="top" wrapText="1"/>
    </xf>
    <xf numFmtId="0" fontId="17" fillId="7" borderId="7" xfId="2" applyBorder="1" applyAlignment="1">
      <alignment horizontal="left" vertical="top" wrapText="1"/>
    </xf>
    <xf numFmtId="0" fontId="17" fillId="7" borderId="8" xfId="2" applyBorder="1" applyAlignment="1">
      <alignment horizontal="left" vertical="top" wrapText="1"/>
    </xf>
    <xf numFmtId="0" fontId="17" fillId="7" borderId="10" xfId="2"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4" xfId="0" applyFont="1" applyBorder="1" applyAlignment="1">
      <alignment horizontal="center" vertical="center"/>
    </xf>
    <xf numFmtId="0" fontId="1" fillId="0" borderId="15" xfId="0" applyFont="1" applyBorder="1" applyAlignment="1">
      <alignment horizontal="center" vertical="center"/>
    </xf>
    <xf numFmtId="0" fontId="1" fillId="0" borderId="25" xfId="0" applyFont="1" applyBorder="1" applyAlignment="1">
      <alignment horizontal="center" vertical="center"/>
    </xf>
    <xf numFmtId="0" fontId="50" fillId="0" borderId="3" xfId="0" applyFont="1" applyBorder="1" applyAlignment="1">
      <alignment horizontal="center" vertical="center"/>
    </xf>
    <xf numFmtId="0" fontId="50" fillId="0" borderId="5" xfId="0" applyFont="1" applyBorder="1" applyAlignment="1">
      <alignment horizontal="center" vertical="center"/>
    </xf>
    <xf numFmtId="0" fontId="50" fillId="0" borderId="24" xfId="0" applyFont="1" applyBorder="1" applyAlignment="1">
      <alignment horizontal="center" vertical="center"/>
    </xf>
    <xf numFmtId="0" fontId="50" fillId="0" borderId="25" xfId="0" applyFont="1" applyBorder="1" applyAlignment="1">
      <alignment horizontal="center" vertic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2" xfId="0" applyBorder="1" applyAlignment="1">
      <alignment horizontal="center"/>
    </xf>
    <xf numFmtId="9" fontId="0" fillId="0" borderId="0" xfId="4" applyFont="1"/>
  </cellXfs>
  <cellStyles count="6">
    <cellStyle name="Bueno" xfId="2" builtinId="26"/>
    <cellStyle name="Incorrecto" xfId="3" builtinId="27"/>
    <cellStyle name="Millares" xfId="1" builtinId="3"/>
    <cellStyle name="Millares 2" xfId="5" xr:uid="{8138AB00-2CD5-4D52-AEB7-F66D14E5E0D3}"/>
    <cellStyle name="Normal" xfId="0" builtinId="0"/>
    <cellStyle name="Porcentaje" xfId="4" builtinId="5"/>
  </cellStyles>
  <dxfs count="36">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ill>
        <gradientFill>
          <stop position="0">
            <color rgb="FFFF0000"/>
          </stop>
          <stop position="1">
            <color rgb="FFFFFF00"/>
          </stop>
        </gradient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2</xdr:col>
      <xdr:colOff>1476375</xdr:colOff>
      <xdr:row>3</xdr:row>
      <xdr:rowOff>238125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03625" y="960438"/>
          <a:ext cx="14763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111125</xdr:colOff>
      <xdr:row>4</xdr:row>
      <xdr:rowOff>412749</xdr:rowOff>
    </xdr:from>
    <xdr:to>
      <xdr:col>1</xdr:col>
      <xdr:colOff>1706562</xdr:colOff>
      <xdr:row>6</xdr:row>
      <xdr:rowOff>161924</xdr:rowOff>
    </xdr:to>
    <xdr:pic>
      <xdr:nvPicPr>
        <xdr:cNvPr id="3" name="Picture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12938" y="1968499"/>
          <a:ext cx="1595437" cy="48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9</xdr:row>
          <xdr:rowOff>0</xdr:rowOff>
        </xdr:from>
        <xdr:to>
          <xdr:col>0</xdr:col>
          <xdr:colOff>1514475</xdr:colOff>
          <xdr:row>10</xdr:row>
          <xdr:rowOff>38100</xdr:rowOff>
        </xdr:to>
        <xdr:sp macro="" textlink="">
          <xdr:nvSpPr>
            <xdr:cNvPr id="1063" name="Object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0</xdr:colOff>
      <xdr:row>9</xdr:row>
      <xdr:rowOff>0</xdr:rowOff>
    </xdr:from>
    <xdr:to>
      <xdr:col>0</xdr:col>
      <xdr:colOff>533400</xdr:colOff>
      <xdr:row>10</xdr:row>
      <xdr:rowOff>9525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314575"/>
          <a:ext cx="5334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223405</xdr:colOff>
      <xdr:row>5</xdr:row>
      <xdr:rowOff>66673</xdr:rowOff>
    </xdr:from>
    <xdr:to>
      <xdr:col>1</xdr:col>
      <xdr:colOff>1442605</xdr:colOff>
      <xdr:row>7</xdr:row>
      <xdr:rowOff>155863</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00746" y="2214128"/>
          <a:ext cx="1219200" cy="452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3</xdr:row>
      <xdr:rowOff>200025</xdr:rowOff>
    </xdr:from>
    <xdr:to>
      <xdr:col>2</xdr:col>
      <xdr:colOff>1171575</xdr:colOff>
      <xdr:row>3</xdr:row>
      <xdr:rowOff>523875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76725" y="1657350"/>
          <a:ext cx="59055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xdr:row>
      <xdr:rowOff>0</xdr:rowOff>
    </xdr:from>
    <xdr:to>
      <xdr:col>0</xdr:col>
      <xdr:colOff>590550</xdr:colOff>
      <xdr:row>7</xdr:row>
      <xdr:rowOff>133350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2314575"/>
          <a:ext cx="5905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316230</xdr:colOff>
      <xdr:row>6</xdr:row>
      <xdr:rowOff>152400</xdr:rowOff>
    </xdr:from>
    <xdr:to>
      <xdr:col>1</xdr:col>
      <xdr:colOff>1040130</xdr:colOff>
      <xdr:row>7</xdr:row>
      <xdr:rowOff>236220</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64080" y="2019300"/>
          <a:ext cx="723900" cy="28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190500</xdr:colOff>
      <xdr:row>64</xdr:row>
      <xdr:rowOff>142875</xdr:rowOff>
    </xdr:from>
    <xdr:to>
      <xdr:col>15</xdr:col>
      <xdr:colOff>1457325</xdr:colOff>
      <xdr:row>89</xdr:row>
      <xdr:rowOff>9525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7981" t="20055" r="42087" b="16525"/>
        <a:stretch/>
      </xdr:blipFill>
      <xdr:spPr>
        <a:xfrm>
          <a:off x="9601200" y="9048750"/>
          <a:ext cx="6496050" cy="4638675"/>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6</xdr:col>
      <xdr:colOff>1114010</xdr:colOff>
      <xdr:row>68</xdr:row>
      <xdr:rowOff>957</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0115550"/>
          <a:ext cx="9467435" cy="5325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247649</xdr:colOff>
      <xdr:row>5</xdr:row>
      <xdr:rowOff>30208</xdr:rowOff>
    </xdr:from>
    <xdr:to>
      <xdr:col>1</xdr:col>
      <xdr:colOff>1238250</xdr:colOff>
      <xdr:row>7</xdr:row>
      <xdr:rowOff>49753</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47874" y="2192383"/>
          <a:ext cx="990601" cy="410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3</xdr:row>
      <xdr:rowOff>200025</xdr:rowOff>
    </xdr:from>
    <xdr:to>
      <xdr:col>2</xdr:col>
      <xdr:colOff>962025</xdr:colOff>
      <xdr:row>3</xdr:row>
      <xdr:rowOff>466725</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52900" y="1114425"/>
          <a:ext cx="4095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7</xdr:row>
      <xdr:rowOff>19050</xdr:rowOff>
    </xdr:from>
    <xdr:to>
      <xdr:col>0</xdr:col>
      <xdr:colOff>1104900</xdr:colOff>
      <xdr:row>8</xdr:row>
      <xdr:rowOff>47625</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5325" y="3076575"/>
          <a:ext cx="4095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304800</xdr:colOff>
      <xdr:row>61</xdr:row>
      <xdr:rowOff>114300</xdr:rowOff>
    </xdr:to>
    <xdr:sp macro="" textlink="">
      <xdr:nvSpPr>
        <xdr:cNvPr id="4103" name="AutoShape 7" descr="blob:https://web.whatsapp.com/cd1bcf2c-b9ef-4439-9551-0e142e254770">
          <a:extLst>
            <a:ext uri="{FF2B5EF4-FFF2-40B4-BE49-F238E27FC236}">
              <a16:creationId xmlns:a16="http://schemas.microsoft.com/office/drawing/2014/main" id="{00000000-0008-0000-0500-000007100000}"/>
            </a:ext>
          </a:extLst>
        </xdr:cNvPr>
        <xdr:cNvSpPr>
          <a:spLocks noChangeAspect="1" noChangeArrowheads="1"/>
        </xdr:cNvSpPr>
      </xdr:nvSpPr>
      <xdr:spPr bwMode="auto">
        <a:xfrm>
          <a:off x="0" y="1423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57</xdr:row>
      <xdr:rowOff>0</xdr:rowOff>
    </xdr:from>
    <xdr:to>
      <xdr:col>15</xdr:col>
      <xdr:colOff>724678</xdr:colOff>
      <xdr:row>93</xdr:row>
      <xdr:rowOff>2879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3648075" y="13658850"/>
          <a:ext cx="12190476" cy="6857143"/>
        </a:xfrm>
        <a:prstGeom prst="rect">
          <a:avLst/>
        </a:prstGeom>
      </xdr:spPr>
    </xdr:pic>
    <xdr:clientData/>
  </xdr:twoCellAnchor>
  <xdr:twoCellAnchor editAs="oneCell">
    <xdr:from>
      <xdr:col>5</xdr:col>
      <xdr:colOff>771525</xdr:colOff>
      <xdr:row>102</xdr:row>
      <xdr:rowOff>142874</xdr:rowOff>
    </xdr:from>
    <xdr:to>
      <xdr:col>13</xdr:col>
      <xdr:colOff>122778</xdr:colOff>
      <xdr:row>132</xdr:row>
      <xdr:rowOff>47625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5"/>
        <a:srcRect l="31190" t="17580" r="28541" b="5588"/>
        <a:stretch/>
      </xdr:blipFill>
      <xdr:spPr>
        <a:xfrm>
          <a:off x="7705725" y="22374224"/>
          <a:ext cx="5238750" cy="5619751"/>
        </a:xfrm>
        <a:prstGeom prst="rect">
          <a:avLst/>
        </a:prstGeom>
        <a:ln>
          <a:solidFill>
            <a:schemeClr val="accent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304800</xdr:colOff>
      <xdr:row>3</xdr:row>
      <xdr:rowOff>619125</xdr:rowOff>
    </xdr:from>
    <xdr:to>
      <xdr:col>2</xdr:col>
      <xdr:colOff>1266825</xdr:colOff>
      <xdr:row>3</xdr:row>
      <xdr:rowOff>923925</xdr:rowOff>
    </xdr:to>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00500" y="1533525"/>
          <a:ext cx="9620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4</xdr:row>
      <xdr:rowOff>171450</xdr:rowOff>
    </xdr:from>
    <xdr:to>
      <xdr:col>1</xdr:col>
      <xdr:colOff>1247775</xdr:colOff>
      <xdr:row>6</xdr:row>
      <xdr:rowOff>133350</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66925" y="3429000"/>
          <a:ext cx="10287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0</xdr:rowOff>
    </xdr:from>
    <xdr:to>
      <xdr:col>0</xdr:col>
      <xdr:colOff>962025</xdr:colOff>
      <xdr:row>21</xdr:row>
      <xdr:rowOff>19050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5162550"/>
          <a:ext cx="9620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STSS\E+E\Soportes\Ind8-%20varios\Entrega%201\Estimaci&#243;n%20L&#237;nea%20de%20Base%202018%20Indicador%208%20Euroempl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0515@21-39pm%20tabla%20D%20desembolso%20ajustada-re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G"/>
      <sheetName val="STSS"/>
      <sheetName val="SDE"/>
      <sheetName val="Consolidado"/>
    </sheetNames>
    <sheetDataSet>
      <sheetData sheetId="0" refreshError="1"/>
      <sheetData sheetId="1" refreshError="1"/>
      <sheetData sheetId="2" refreshError="1"/>
      <sheetData sheetId="3" refreshError="1">
        <row r="43">
          <cell r="E43">
            <v>295636458</v>
          </cell>
          <cell r="F43">
            <v>683458427</v>
          </cell>
          <cell r="G43">
            <v>1322134816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D6">
            <v>3750000</v>
          </cell>
          <cell r="H6">
            <v>1250000</v>
          </cell>
          <cell r="J6">
            <v>1250000</v>
          </cell>
          <cell r="L6">
            <v>1250000</v>
          </cell>
        </row>
        <row r="19">
          <cell r="D19">
            <v>3750000</v>
          </cell>
          <cell r="H19">
            <v>1250000</v>
          </cell>
          <cell r="J19">
            <v>1250000</v>
          </cell>
          <cell r="L19">
            <v>1250000</v>
          </cell>
        </row>
        <row r="25">
          <cell r="D25">
            <v>3000000</v>
          </cell>
          <cell r="H25">
            <v>1000000</v>
          </cell>
          <cell r="J25">
            <v>1000000</v>
          </cell>
          <cell r="L25">
            <v>1000000</v>
          </cell>
        </row>
        <row r="28">
          <cell r="D28">
            <v>4500000</v>
          </cell>
          <cell r="H28">
            <v>1500000</v>
          </cell>
          <cell r="J28">
            <v>1500000</v>
          </cell>
          <cell r="L28">
            <v>1500000</v>
          </cell>
        </row>
        <row r="34">
          <cell r="D34">
            <v>3000000</v>
          </cell>
          <cell r="H34">
            <v>1000000</v>
          </cell>
          <cell r="J34">
            <v>1000000</v>
          </cell>
          <cell r="L34">
            <v>1000000</v>
          </cell>
        </row>
        <row r="37">
          <cell r="D37">
            <v>4500000</v>
          </cell>
          <cell r="H37">
            <v>1500000</v>
          </cell>
          <cell r="J37">
            <v>1500000</v>
          </cell>
          <cell r="L37">
            <v>1500000</v>
          </cell>
        </row>
        <row r="43">
          <cell r="D43">
            <v>4500000</v>
          </cell>
          <cell r="H43">
            <v>1500000</v>
          </cell>
          <cell r="J43">
            <v>1500000</v>
          </cell>
          <cell r="L43">
            <v>1500000</v>
          </cell>
        </row>
        <row r="48">
          <cell r="D48">
            <v>3000000</v>
          </cell>
          <cell r="H48">
            <v>1000000</v>
          </cell>
          <cell r="J48">
            <v>1000000</v>
          </cell>
          <cell r="L48">
            <v>1000000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8"/>
  <sheetViews>
    <sheetView topLeftCell="B7" zoomScale="120" zoomScaleNormal="120" workbookViewId="0">
      <selection activeCell="I16" sqref="I16"/>
    </sheetView>
  </sheetViews>
  <sheetFormatPr baseColWidth="10" defaultColWidth="8.85546875" defaultRowHeight="15" x14ac:dyDescent="0.25"/>
  <cols>
    <col min="1" max="2" width="27" customWidth="1"/>
    <col min="3" max="3" width="24.85546875" customWidth="1"/>
    <col min="4" max="7" width="11" style="123" customWidth="1"/>
    <col min="8" max="8" width="13.7109375" customWidth="1"/>
    <col min="9" max="9" width="11" bestFit="1" customWidth="1"/>
    <col min="10" max="10" width="12.5703125" customWidth="1"/>
    <col min="12" max="12" width="19" bestFit="1" customWidth="1"/>
  </cols>
  <sheetData>
    <row r="1" spans="1:17" x14ac:dyDescent="0.25">
      <c r="A1" t="s">
        <v>0</v>
      </c>
    </row>
    <row r="2" spans="1:17" x14ac:dyDescent="0.25">
      <c r="D2" s="426" t="s">
        <v>10</v>
      </c>
      <c r="E2" s="426"/>
      <c r="F2" s="426"/>
      <c r="G2" s="426"/>
    </row>
    <row r="3" spans="1:17" ht="45.75" thickBot="1" x14ac:dyDescent="0.3">
      <c r="A3" t="s">
        <v>30</v>
      </c>
      <c r="B3" t="s">
        <v>3</v>
      </c>
      <c r="C3" t="s">
        <v>179</v>
      </c>
      <c r="D3" s="124" t="s">
        <v>5</v>
      </c>
      <c r="E3" s="124" t="s">
        <v>6</v>
      </c>
      <c r="F3" s="124" t="s">
        <v>7</v>
      </c>
      <c r="G3" s="124" t="s">
        <v>9</v>
      </c>
      <c r="H3" s="3" t="s">
        <v>11</v>
      </c>
      <c r="I3" s="2" t="s">
        <v>18</v>
      </c>
      <c r="J3" s="3" t="s">
        <v>25</v>
      </c>
    </row>
    <row r="4" spans="1:17" ht="47.25" x14ac:dyDescent="0.25">
      <c r="A4" s="144" t="s">
        <v>1</v>
      </c>
      <c r="B4" s="13" t="s">
        <v>2</v>
      </c>
      <c r="C4" s="8"/>
      <c r="D4" s="130">
        <v>3655653</v>
      </c>
      <c r="E4" s="130">
        <f>++D4*0.142</f>
        <v>519102.72599999997</v>
      </c>
      <c r="F4" s="130">
        <f>+D4*0.486</f>
        <v>1776647.358</v>
      </c>
      <c r="G4" s="130">
        <f t="shared" ref="G4:G9" si="0">+D4-(E4+F4)</f>
        <v>1359902.9160000002</v>
      </c>
      <c r="H4" s="7">
        <f>+G4/D4*100</f>
        <v>37.200000000000003</v>
      </c>
      <c r="I4" s="7">
        <v>38</v>
      </c>
      <c r="L4" s="417" t="s">
        <v>332</v>
      </c>
      <c r="M4" s="418"/>
      <c r="N4" s="418"/>
      <c r="O4" s="418"/>
      <c r="P4" s="418"/>
      <c r="Q4" s="419"/>
    </row>
    <row r="5" spans="1:17" ht="43.5" customHeight="1" x14ac:dyDescent="0.25">
      <c r="B5" s="8" t="s">
        <v>17</v>
      </c>
      <c r="C5" s="8" t="s">
        <v>13</v>
      </c>
      <c r="D5" s="137">
        <v>4095000</v>
      </c>
      <c r="E5" s="137">
        <v>580000</v>
      </c>
      <c r="F5" s="137">
        <v>1978000</v>
      </c>
      <c r="G5" s="130">
        <f t="shared" si="0"/>
        <v>1537000</v>
      </c>
      <c r="H5" s="67">
        <f>+G5/D5*100</f>
        <v>37.533577533577535</v>
      </c>
      <c r="I5" s="135">
        <f>+((H5-$H$4)/($I$4-$H$4))*100</f>
        <v>41.697191697191698</v>
      </c>
      <c r="J5" s="131">
        <f>IF(I5&lt;50,0,
IF(I5&gt;100,100,
IF(I5&gt;50,I5,)))</f>
        <v>0</v>
      </c>
      <c r="L5" s="420"/>
      <c r="M5" s="421"/>
      <c r="N5" s="421"/>
      <c r="O5" s="421"/>
      <c r="P5" s="421"/>
      <c r="Q5" s="422"/>
    </row>
    <row r="6" spans="1:17" ht="14.45" customHeight="1" thickBot="1" x14ac:dyDescent="0.3">
      <c r="B6" s="8"/>
      <c r="C6" s="8" t="s">
        <v>14</v>
      </c>
      <c r="D6" s="138">
        <f>+D5+8000</f>
        <v>4103000</v>
      </c>
      <c r="E6" s="138">
        <f>+E5+25</f>
        <v>580025</v>
      </c>
      <c r="F6" s="138">
        <f>+F5+25</f>
        <v>1978025</v>
      </c>
      <c r="G6" s="130">
        <f t="shared" si="0"/>
        <v>1544950</v>
      </c>
      <c r="H6" s="67">
        <f>+G6/D6*100</f>
        <v>37.65415549597855</v>
      </c>
      <c r="I6" s="135">
        <f t="shared" ref="I6:I8" si="1">+((H6-$H$4)/($I$4-$H$4))*100</f>
        <v>56.7694369973186</v>
      </c>
      <c r="J6" s="52">
        <f>IF(I6&lt;50,0,IF(I6&gt;100,100,IF(I6&gt;50,I6,)))</f>
        <v>56.7694369973186</v>
      </c>
      <c r="L6" s="420"/>
      <c r="M6" s="421"/>
      <c r="N6" s="421"/>
      <c r="O6" s="421"/>
      <c r="P6" s="421"/>
      <c r="Q6" s="422"/>
    </row>
    <row r="7" spans="1:17" ht="14.45" customHeight="1" thickBot="1" x14ac:dyDescent="0.3">
      <c r="A7" s="69" t="s">
        <v>156</v>
      </c>
      <c r="B7" s="8"/>
      <c r="C7" s="8" t="s">
        <v>15</v>
      </c>
      <c r="D7" s="138">
        <f>+D6+10000</f>
        <v>4113000</v>
      </c>
      <c r="E7" s="138">
        <f t="shared" ref="E7:E8" si="2">+E6+25</f>
        <v>580050</v>
      </c>
      <c r="F7" s="138">
        <f t="shared" ref="F7:F8" si="3">+F6+25</f>
        <v>1978050</v>
      </c>
      <c r="G7" s="130">
        <f t="shared" si="0"/>
        <v>1554900</v>
      </c>
      <c r="H7" s="67">
        <f>+G7/D7*100</f>
        <v>37.804522246535377</v>
      </c>
      <c r="I7" s="135">
        <f t="shared" si="1"/>
        <v>75.565280816922083</v>
      </c>
      <c r="J7" s="52">
        <f>IF(I7&lt;50,0,IF(I7&gt;100,100,IF(I7&gt;50,I7,)))</f>
        <v>75.565280816922083</v>
      </c>
      <c r="L7" s="420"/>
      <c r="M7" s="421"/>
      <c r="N7" s="421"/>
      <c r="O7" s="421"/>
      <c r="P7" s="421"/>
      <c r="Q7" s="422"/>
    </row>
    <row r="8" spans="1:17" ht="17.100000000000001" customHeight="1" thickBot="1" x14ac:dyDescent="0.3">
      <c r="A8" s="70"/>
      <c r="B8" s="8"/>
      <c r="C8" s="8" t="s">
        <v>16</v>
      </c>
      <c r="D8" s="138">
        <f>+D7+15000</f>
        <v>4128000</v>
      </c>
      <c r="E8" s="190">
        <f t="shared" si="2"/>
        <v>580075</v>
      </c>
      <c r="F8" s="138">
        <f t="shared" si="3"/>
        <v>1978075</v>
      </c>
      <c r="G8" s="130">
        <f t="shared" si="0"/>
        <v>1569850</v>
      </c>
      <c r="H8" s="67">
        <f>+G8/D8*100</f>
        <v>38.029312015503876</v>
      </c>
      <c r="I8" s="135">
        <f t="shared" si="1"/>
        <v>103.66400193798458</v>
      </c>
      <c r="J8" s="52">
        <f>IF(I8&lt;50,0,IF(I8&gt;100,100,IF(I8&gt;50,I8,)))</f>
        <v>100</v>
      </c>
      <c r="L8" s="423"/>
      <c r="M8" s="424"/>
      <c r="N8" s="424"/>
      <c r="O8" s="424"/>
      <c r="P8" s="424"/>
      <c r="Q8" s="425"/>
    </row>
    <row r="9" spans="1:17" ht="17.100000000000001" customHeight="1" x14ac:dyDescent="0.25">
      <c r="A9" s="70"/>
      <c r="B9" s="8"/>
      <c r="C9" s="8"/>
      <c r="D9" s="138"/>
      <c r="E9" s="138"/>
      <c r="F9" s="138"/>
      <c r="G9" s="130">
        <f t="shared" si="0"/>
        <v>0</v>
      </c>
      <c r="H9" s="67"/>
      <c r="I9" s="135"/>
      <c r="J9" s="52"/>
    </row>
    <row r="10" spans="1:17" ht="17.100000000000001" customHeight="1" x14ac:dyDescent="0.25">
      <c r="A10" s="70"/>
      <c r="D10" s="126"/>
      <c r="E10" s="126"/>
      <c r="F10" s="126"/>
      <c r="G10" s="127"/>
      <c r="H10" s="47">
        <v>2019</v>
      </c>
      <c r="I10" s="136">
        <v>2020</v>
      </c>
      <c r="J10" s="52"/>
    </row>
    <row r="11" spans="1:17" ht="11.25" customHeight="1" x14ac:dyDescent="0.25">
      <c r="A11" s="70"/>
      <c r="B11" s="9" t="s">
        <v>20</v>
      </c>
      <c r="C11" s="4">
        <v>2020</v>
      </c>
      <c r="D11" s="126"/>
      <c r="E11" s="126"/>
      <c r="F11" s="126"/>
      <c r="G11" s="126"/>
      <c r="H11" s="68">
        <f>+H8</f>
        <v>38.029312015503876</v>
      </c>
      <c r="I11" s="52">
        <v>38.799999999999997</v>
      </c>
      <c r="J11" s="52"/>
      <c r="L11" s="66" t="s">
        <v>155</v>
      </c>
    </row>
    <row r="12" spans="1:17" ht="11.25" customHeight="1" x14ac:dyDescent="0.25">
      <c r="A12" s="70" t="s">
        <v>157</v>
      </c>
      <c r="B12" s="9" t="s">
        <v>21</v>
      </c>
      <c r="C12" t="s">
        <v>13</v>
      </c>
      <c r="D12" s="205">
        <f>+D8+12000</f>
        <v>4140000</v>
      </c>
      <c r="E12" s="205">
        <f>+E8+25</f>
        <v>580100</v>
      </c>
      <c r="F12" s="205">
        <f>+F8+100</f>
        <v>1978175</v>
      </c>
      <c r="G12" s="206">
        <f>+D12-(E12+F12)</f>
        <v>1581725</v>
      </c>
      <c r="H12" s="67">
        <f>+G12/D12*100</f>
        <v>38.205917874396135</v>
      </c>
      <c r="I12" s="54">
        <f>+((H12-$H$11)/($I$11-$H$11))*100</f>
        <v>22.915351276395558</v>
      </c>
      <c r="J12" s="52">
        <f>IF(I12&lt;50,0,IF(I12&gt;100,100,IF(I12&gt;50,I12,)))</f>
        <v>0</v>
      </c>
    </row>
    <row r="13" spans="1:17" ht="11.25" customHeight="1" x14ac:dyDescent="0.25">
      <c r="A13" s="70"/>
      <c r="B13" s="431" t="s">
        <v>22</v>
      </c>
      <c r="C13" t="s">
        <v>14</v>
      </c>
      <c r="D13" s="205">
        <f>+D12+12000</f>
        <v>4152000</v>
      </c>
      <c r="E13" s="205">
        <f>+E12+25</f>
        <v>580125</v>
      </c>
      <c r="F13" s="205">
        <f>+F12+25</f>
        <v>1978200</v>
      </c>
      <c r="G13" s="206">
        <f>+D13-(E13+F13)</f>
        <v>1593675</v>
      </c>
      <c r="H13" s="67">
        <f>+G13/D13*100</f>
        <v>38.383309248554916</v>
      </c>
      <c r="I13" s="54">
        <f t="shared" ref="I13:I16" si="4">+((H13-$H$11)/($I$11-$H$11))*100</f>
        <v>45.932626454853121</v>
      </c>
      <c r="J13" s="52">
        <f>IF(I13&lt;50,0,IF(I13&gt;100,100,IF(I13&gt;50,I13,)))</f>
        <v>0</v>
      </c>
    </row>
    <row r="14" spans="1:17" ht="11.25" customHeight="1" x14ac:dyDescent="0.25">
      <c r="A14" s="70" t="s">
        <v>158</v>
      </c>
      <c r="B14" s="431"/>
      <c r="C14" t="s">
        <v>15</v>
      </c>
      <c r="D14" s="205">
        <f t="shared" ref="D14:D15" si="5">+D13+12000</f>
        <v>4164000</v>
      </c>
      <c r="E14" s="205">
        <f>+E13+25</f>
        <v>580150</v>
      </c>
      <c r="F14" s="205">
        <f>+F13+25</f>
        <v>1978225</v>
      </c>
      <c r="G14" s="206">
        <f>+D14-(E14+F14)</f>
        <v>1605625</v>
      </c>
      <c r="H14" s="67">
        <f>+G14/D14*100</f>
        <v>38.559678194044189</v>
      </c>
      <c r="I14" s="54">
        <f t="shared" si="4"/>
        <v>68.817237223059607</v>
      </c>
      <c r="J14" s="52">
        <f>IF(I14&lt;50,0,IF(I14&gt;100,100,IF(I14&gt;50,I14,)))</f>
        <v>68.817237223059607</v>
      </c>
    </row>
    <row r="15" spans="1:17" ht="11.25" customHeight="1" thickBot="1" x14ac:dyDescent="0.3">
      <c r="A15" s="70" t="s">
        <v>162</v>
      </c>
      <c r="B15" s="431" t="s">
        <v>24</v>
      </c>
      <c r="C15" t="s">
        <v>16</v>
      </c>
      <c r="D15" s="205">
        <f t="shared" si="5"/>
        <v>4176000</v>
      </c>
      <c r="E15" s="205">
        <f t="shared" ref="E15" si="6">+E12+25</f>
        <v>580125</v>
      </c>
      <c r="F15" s="205">
        <f t="shared" ref="F15" si="7">+F12+100</f>
        <v>1978275</v>
      </c>
      <c r="G15" s="206">
        <f>+D15-(E15+F15)</f>
        <v>1617600</v>
      </c>
      <c r="H15" s="67">
        <f>+G15/D15*100</f>
        <v>38.735632183908045</v>
      </c>
      <c r="I15" s="54">
        <f t="shared" si="4"/>
        <v>91.648005757604224</v>
      </c>
      <c r="J15" s="52">
        <f>IF(I15&lt;50,0,IF(I15&gt;100,100,IF(I15&gt;50,I15,)))</f>
        <v>91.648005757604224</v>
      </c>
    </row>
    <row r="16" spans="1:17" ht="29.25" thickBot="1" x14ac:dyDescent="0.5">
      <c r="A16" s="70"/>
      <c r="B16" s="431"/>
      <c r="C16" s="4" t="s">
        <v>248</v>
      </c>
      <c r="D16" s="179">
        <v>3655653</v>
      </c>
      <c r="E16" s="189">
        <v>996554</v>
      </c>
      <c r="F16" s="180">
        <v>1585972</v>
      </c>
      <c r="G16" s="181">
        <f>+D16-(E16+F16)</f>
        <v>1073127</v>
      </c>
      <c r="H16" s="188">
        <f>+G16/D16*100</f>
        <v>29.355275240839322</v>
      </c>
      <c r="I16" s="182">
        <f t="shared" si="4"/>
        <v>-1125.492670076552</v>
      </c>
      <c r="J16" s="277">
        <f>IF(I16&lt;50,0,IF(I16&gt;100,100,IF(I16&gt;50,I16,)))</f>
        <v>0</v>
      </c>
    </row>
    <row r="17" spans="1:17" ht="11.25" customHeight="1" x14ac:dyDescent="0.25">
      <c r="A17" s="428" t="s">
        <v>163</v>
      </c>
      <c r="B17" s="431"/>
      <c r="D17" s="126"/>
      <c r="E17" s="126"/>
      <c r="F17" s="126"/>
      <c r="G17" s="127"/>
      <c r="H17" s="48">
        <v>2020</v>
      </c>
      <c r="I17" s="49">
        <v>2021</v>
      </c>
      <c r="J17" s="52"/>
    </row>
    <row r="18" spans="1:17" ht="11.25" customHeight="1" x14ac:dyDescent="0.25">
      <c r="A18" s="428"/>
      <c r="B18" s="134" t="s">
        <v>23</v>
      </c>
      <c r="C18" s="4">
        <v>2021</v>
      </c>
      <c r="D18" s="126"/>
      <c r="E18" s="126"/>
      <c r="F18" s="126"/>
      <c r="G18" s="126"/>
      <c r="H18" s="68">
        <f>+H15</f>
        <v>38.735632183908045</v>
      </c>
      <c r="I18" s="52">
        <v>39.6</v>
      </c>
      <c r="J18" s="52"/>
      <c r="L18" s="66" t="s">
        <v>155</v>
      </c>
    </row>
    <row r="19" spans="1:17" ht="11.25" customHeight="1" x14ac:dyDescent="0.25">
      <c r="A19" s="428"/>
      <c r="B19" s="9"/>
      <c r="C19" t="s">
        <v>13</v>
      </c>
      <c r="D19" s="128">
        <f>+D15+12000</f>
        <v>4188000</v>
      </c>
      <c r="E19" s="128">
        <f>580125+500</f>
        <v>580625</v>
      </c>
      <c r="F19" s="128">
        <f>1978275+1110</f>
        <v>1979385</v>
      </c>
      <c r="G19" s="130">
        <f>+D19-(E19+F19)</f>
        <v>1627990</v>
      </c>
      <c r="H19" s="67">
        <f>+G19/D19*100</f>
        <v>38.872731614135624</v>
      </c>
      <c r="I19" s="54">
        <f>+((H19-$H$18)/($I$18-$H$18))*100</f>
        <v>15.861237273669335</v>
      </c>
      <c r="J19" s="52">
        <f>IF(I19&lt;50,0,IF(I19&gt;100,100,IF(I19&gt;50,I19,)))</f>
        <v>0</v>
      </c>
    </row>
    <row r="20" spans="1:17" ht="11.25" customHeight="1" x14ac:dyDescent="0.25">
      <c r="A20" s="428"/>
      <c r="B20" s="9"/>
      <c r="C20" t="s">
        <v>14</v>
      </c>
      <c r="D20" s="128">
        <f t="shared" ref="D20:D22" si="8">+D19+15000</f>
        <v>4203000</v>
      </c>
      <c r="E20" s="128">
        <f t="shared" ref="E20:E22" si="9">+E19+25</f>
        <v>580650</v>
      </c>
      <c r="F20" s="128">
        <f t="shared" ref="F20:F22" si="10">+F19+25</f>
        <v>1979410</v>
      </c>
      <c r="G20" s="130">
        <f>+D20-(E20+F20)</f>
        <v>1642940</v>
      </c>
      <c r="H20" s="67">
        <f>+G20/D20*100</f>
        <v>39.08969783487985</v>
      </c>
      <c r="I20" s="54">
        <f t="shared" ref="I20:I22" si="11">+((H20-$H$18)/($I$18-$H$18))*100</f>
        <v>40.962382492748581</v>
      </c>
      <c r="J20" s="52">
        <f>IF(I20&lt;50,0,IF(I20&gt;100,100,IF(I20&gt;50,I20,)))</f>
        <v>0</v>
      </c>
    </row>
    <row r="21" spans="1:17" ht="11.25" customHeight="1" x14ac:dyDescent="0.25">
      <c r="A21" s="428" t="s">
        <v>164</v>
      </c>
      <c r="B21" s="9"/>
      <c r="C21" t="s">
        <v>15</v>
      </c>
      <c r="D21" s="128">
        <f t="shared" si="8"/>
        <v>4218000</v>
      </c>
      <c r="E21" s="139">
        <f>+E20+3500</f>
        <v>584150</v>
      </c>
      <c r="F21" s="139">
        <f>+F20+2500</f>
        <v>1981910</v>
      </c>
      <c r="G21" s="130">
        <f>+D21-(E21+F21)</f>
        <v>1651940</v>
      </c>
      <c r="H21" s="67">
        <f>+G21/D21*100</f>
        <v>39.164058795637743</v>
      </c>
      <c r="I21" s="54">
        <f t="shared" si="11"/>
        <v>49.565312793196306</v>
      </c>
      <c r="J21" s="52">
        <f>IF(I21&lt;50,0,IF(I21&gt;100,100,IF(I21&gt;50,I21,)))</f>
        <v>0</v>
      </c>
    </row>
    <row r="22" spans="1:17" ht="11.25" customHeight="1" x14ac:dyDescent="0.25">
      <c r="A22" s="428"/>
      <c r="B22" s="9"/>
      <c r="C22" t="s">
        <v>16</v>
      </c>
      <c r="D22" s="128">
        <f t="shared" si="8"/>
        <v>4233000</v>
      </c>
      <c r="E22" s="128">
        <f t="shared" si="9"/>
        <v>584175</v>
      </c>
      <c r="F22" s="128">
        <f t="shared" si="10"/>
        <v>1981935</v>
      </c>
      <c r="G22" s="130">
        <f>+D22-(E22+F22)</f>
        <v>1666890</v>
      </c>
      <c r="H22" s="67">
        <f>+G22/D22*100</f>
        <v>39.378454996456412</v>
      </c>
      <c r="I22" s="54">
        <f t="shared" si="11"/>
        <v>74.369128579398648</v>
      </c>
      <c r="J22" s="52">
        <f>IF(I22&lt;50,0,IF(I22&gt;100,100,IF(I22&gt;50,I22,)))</f>
        <v>74.369128579398648</v>
      </c>
    </row>
    <row r="23" spans="1:17" ht="11.25" customHeight="1" x14ac:dyDescent="0.25">
      <c r="A23" s="428"/>
      <c r="B23" s="9"/>
      <c r="D23" s="126"/>
      <c r="E23" s="126"/>
      <c r="F23" s="126"/>
      <c r="G23" s="127"/>
      <c r="H23" s="47">
        <v>2021</v>
      </c>
      <c r="I23" s="47">
        <v>2022</v>
      </c>
      <c r="J23" s="52"/>
    </row>
    <row r="24" spans="1:17" ht="11.25" customHeight="1" x14ac:dyDescent="0.25">
      <c r="A24" s="428"/>
      <c r="B24" s="9"/>
      <c r="C24" s="4">
        <v>2022</v>
      </c>
      <c r="D24" s="126"/>
      <c r="E24" s="126"/>
      <c r="F24" s="126"/>
      <c r="G24" s="126"/>
      <c r="H24" s="68">
        <f>+H22</f>
        <v>39.378454996456412</v>
      </c>
      <c r="I24" s="52">
        <v>40.4</v>
      </c>
      <c r="J24" s="52"/>
      <c r="L24" s="66" t="s">
        <v>155</v>
      </c>
      <c r="M24" s="66"/>
      <c r="N24" s="66"/>
      <c r="O24" s="66"/>
      <c r="P24" s="66"/>
      <c r="Q24" s="66"/>
    </row>
    <row r="25" spans="1:17" ht="12.75" customHeight="1" x14ac:dyDescent="0.25">
      <c r="A25" s="429" t="s">
        <v>165</v>
      </c>
      <c r="B25" s="9"/>
      <c r="C25" t="s">
        <v>13</v>
      </c>
      <c r="D25" s="128">
        <f>4233000+8000</f>
        <v>4241000</v>
      </c>
      <c r="E25" s="139">
        <f>+E22-15000</f>
        <v>569175</v>
      </c>
      <c r="F25" s="139">
        <f>+F22-15000</f>
        <v>1966935</v>
      </c>
      <c r="G25" s="130">
        <f>+D25-(E25+F25)</f>
        <v>1704890</v>
      </c>
      <c r="H25" s="67">
        <f>+G25/D25*100</f>
        <v>40.200188634755953</v>
      </c>
      <c r="I25" s="54">
        <f>+((H25-$H$24)/($I$24-$H$24))*100</f>
        <v>80.440277760555873</v>
      </c>
      <c r="J25" s="52">
        <f>IF(I25&lt;50,0,IF(I25&gt;100,100,IF(I25&gt;50,I25,)))</f>
        <v>80.440277760555873</v>
      </c>
    </row>
    <row r="26" spans="1:17" ht="11.25" customHeight="1" x14ac:dyDescent="0.25">
      <c r="A26" s="429"/>
      <c r="B26" s="9"/>
      <c r="C26" t="s">
        <v>14</v>
      </c>
      <c r="D26" s="139">
        <f>+D25+8</f>
        <v>4241008</v>
      </c>
      <c r="E26" s="139">
        <f>+E25-2000</f>
        <v>567175</v>
      </c>
      <c r="F26" s="139">
        <f>+F25-2000</f>
        <v>1964935</v>
      </c>
      <c r="G26" s="130">
        <f>+D26-(E26+F26)</f>
        <v>1708898</v>
      </c>
      <c r="H26" s="67">
        <f>+G26/D26*100</f>
        <v>40.294618637833267</v>
      </c>
      <c r="I26" s="54">
        <f t="shared" ref="I26:I28" si="12">+((H26-$H$24)/($I$24-$H$24))*100</f>
        <v>89.684119465987351</v>
      </c>
      <c r="J26" s="52">
        <f>IF(I26&lt;50,0,IF(I26&gt;100,100,IF(I26&gt;50,I26,)))</f>
        <v>89.684119465987351</v>
      </c>
    </row>
    <row r="27" spans="1:17" ht="11.25" customHeight="1" thickBot="1" x14ac:dyDescent="0.3">
      <c r="A27" s="430"/>
      <c r="B27" s="9"/>
      <c r="C27" t="s">
        <v>15</v>
      </c>
      <c r="D27" s="139">
        <f t="shared" ref="D27:D28" si="13">+D26+8</f>
        <v>4241016</v>
      </c>
      <c r="E27" s="139">
        <f t="shared" ref="E27:E28" si="14">+E26-2000</f>
        <v>565175</v>
      </c>
      <c r="F27" s="139">
        <f t="shared" ref="F27" si="15">+F26-2000</f>
        <v>1962935</v>
      </c>
      <c r="G27" s="130">
        <f>+D27-(E27+F27)</f>
        <v>1712906</v>
      </c>
      <c r="H27" s="67">
        <f>+G27/D27*100</f>
        <v>40.389048284656319</v>
      </c>
      <c r="I27" s="54">
        <f t="shared" si="12"/>
        <v>98.927926297354503</v>
      </c>
      <c r="J27" s="52">
        <f>IF(I27&lt;50,0,IF(I27&gt;100,100,IF(I27&gt;50,I27,)))</f>
        <v>98.927926297354503</v>
      </c>
    </row>
    <row r="28" spans="1:17" ht="11.25" customHeight="1" x14ac:dyDescent="0.25">
      <c r="B28" s="9"/>
      <c r="C28" t="s">
        <v>16</v>
      </c>
      <c r="D28" s="139">
        <f t="shared" si="13"/>
        <v>4241024</v>
      </c>
      <c r="E28" s="139">
        <f t="shared" si="14"/>
        <v>563175</v>
      </c>
      <c r="F28" s="128">
        <f>+F27+1600</f>
        <v>1964535</v>
      </c>
      <c r="G28" s="130">
        <f>+D28-(E28+F28)</f>
        <v>1713314</v>
      </c>
      <c r="H28" s="67">
        <f>+G28/D28*100</f>
        <v>40.398592415416658</v>
      </c>
      <c r="I28" s="54">
        <f t="shared" si="12"/>
        <v>99.862210222901808</v>
      </c>
      <c r="J28" s="52">
        <f>IF(I28&lt;50,0,IF(I28&gt;100,100,IF(I28&gt;50,I28,)))</f>
        <v>99.862210222901808</v>
      </c>
    </row>
    <row r="29" spans="1:17" ht="11.1" customHeight="1" x14ac:dyDescent="0.25">
      <c r="B29" s="9"/>
      <c r="C29" s="4"/>
    </row>
    <row r="30" spans="1:17" ht="11.25" customHeight="1" x14ac:dyDescent="0.25">
      <c r="B30" s="9"/>
      <c r="C30" s="4"/>
    </row>
    <row r="31" spans="1:17" ht="11.25" customHeight="1" x14ac:dyDescent="0.25">
      <c r="B31" s="9"/>
      <c r="C31" s="4"/>
    </row>
    <row r="32" spans="1:17" ht="11.25" customHeight="1" x14ac:dyDescent="0.25">
      <c r="C32" s="4"/>
    </row>
    <row r="33" spans="2:8" ht="11.25" customHeight="1" x14ac:dyDescent="0.25">
      <c r="C33" s="4"/>
    </row>
    <row r="34" spans="2:8" ht="11.25" customHeight="1" x14ac:dyDescent="0.25">
      <c r="B34" s="4" t="s">
        <v>26</v>
      </c>
    </row>
    <row r="35" spans="2:8" ht="11.25" customHeight="1" x14ac:dyDescent="0.25"/>
    <row r="36" spans="2:8" ht="15.75" customHeight="1" x14ac:dyDescent="0.25"/>
    <row r="37" spans="2:8" ht="76.5" x14ac:dyDescent="0.25">
      <c r="B37" s="132" t="s">
        <v>27</v>
      </c>
    </row>
    <row r="38" spans="2:8" ht="24.75" customHeight="1" x14ac:dyDescent="0.25">
      <c r="B38" s="427" t="s">
        <v>28</v>
      </c>
      <c r="C38" s="427"/>
      <c r="D38" s="427"/>
      <c r="E38" s="427"/>
      <c r="F38" s="427"/>
      <c r="G38" s="427"/>
      <c r="H38" s="427"/>
    </row>
  </sheetData>
  <mergeCells count="8">
    <mergeCell ref="L4:Q8"/>
    <mergeCell ref="D2:G2"/>
    <mergeCell ref="B38:H38"/>
    <mergeCell ref="A17:A20"/>
    <mergeCell ref="A21:A24"/>
    <mergeCell ref="A25:A27"/>
    <mergeCell ref="B13:B14"/>
    <mergeCell ref="B15:B17"/>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1063" r:id="rId4">
          <objectPr defaultSize="0" autoPict="0" r:id="rId5">
            <anchor moveWithCells="1" sizeWithCells="1">
              <from>
                <xdr:col>0</xdr:col>
                <xdr:colOff>0</xdr:colOff>
                <xdr:row>9</xdr:row>
                <xdr:rowOff>0</xdr:rowOff>
              </from>
              <to>
                <xdr:col>0</xdr:col>
                <xdr:colOff>1514475</xdr:colOff>
                <xdr:row>10</xdr:row>
                <xdr:rowOff>38100</xdr:rowOff>
              </to>
            </anchor>
          </objectPr>
        </oleObject>
      </mc:Choice>
      <mc:Fallback>
        <oleObject progId="Equation.3" shapeId="106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3"/>
  <sheetViews>
    <sheetView zoomScale="70" zoomScaleNormal="70" workbookViewId="0">
      <selection activeCell="J11" sqref="J11"/>
    </sheetView>
  </sheetViews>
  <sheetFormatPr baseColWidth="10" defaultColWidth="8.85546875" defaultRowHeight="15" x14ac:dyDescent="0.25"/>
  <cols>
    <col min="1" max="1" width="10.7109375" customWidth="1"/>
    <col min="2" max="2" width="39.85546875" customWidth="1"/>
    <col min="3" max="3" width="11.85546875" hidden="1" customWidth="1"/>
    <col min="4" max="4" width="10" hidden="1" customWidth="1"/>
    <col min="5" max="5" width="14.85546875" hidden="1" customWidth="1"/>
    <col min="6" max="6" width="17.28515625" hidden="1" customWidth="1"/>
    <col min="7" max="7" width="15.28515625" hidden="1" customWidth="1"/>
    <col min="8" max="8" width="12.85546875" bestFit="1" customWidth="1"/>
    <col min="9" max="9" width="10" customWidth="1"/>
    <col min="10" max="10" width="13.42578125" customWidth="1"/>
    <col min="11" max="11" width="10" customWidth="1"/>
    <col min="12" max="12" width="19.140625" bestFit="1" customWidth="1"/>
    <col min="13" max="13" width="13.140625" hidden="1" customWidth="1"/>
    <col min="14" max="14" width="10" hidden="1" customWidth="1"/>
    <col min="15" max="15" width="13.42578125" hidden="1" customWidth="1"/>
    <col min="16" max="16" width="12.28515625" hidden="1" customWidth="1"/>
    <col min="17" max="17" width="12" hidden="1" customWidth="1"/>
    <col min="18" max="18" width="13.140625" hidden="1" customWidth="1"/>
    <col min="19" max="19" width="10" hidden="1" customWidth="1"/>
    <col min="20" max="20" width="14" hidden="1" customWidth="1"/>
    <col min="21" max="21" width="10" hidden="1" customWidth="1"/>
    <col min="22" max="22" width="16" hidden="1" customWidth="1"/>
    <col min="23" max="23" width="13.42578125" hidden="1" customWidth="1"/>
    <col min="24" max="24" width="15.7109375" hidden="1" customWidth="1"/>
    <col min="25" max="25" width="10" hidden="1" customWidth="1"/>
    <col min="26" max="26" width="11.7109375" hidden="1" customWidth="1"/>
    <col min="28" max="28" width="12.85546875" customWidth="1"/>
    <col min="31" max="31" width="21.140625" bestFit="1" customWidth="1"/>
  </cols>
  <sheetData>
    <row r="1" spans="1:31" ht="15.75" thickBot="1" x14ac:dyDescent="0.3">
      <c r="A1" s="489" t="s">
        <v>412</v>
      </c>
      <c r="B1" s="490"/>
      <c r="C1" s="496" t="s">
        <v>187</v>
      </c>
      <c r="D1" s="497"/>
      <c r="E1" s="497"/>
      <c r="F1" s="497"/>
      <c r="G1" s="498"/>
      <c r="H1" s="496" t="s">
        <v>188</v>
      </c>
      <c r="I1" s="497"/>
      <c r="J1" s="497"/>
      <c r="K1" s="497"/>
      <c r="L1" s="498"/>
      <c r="M1" s="496" t="s">
        <v>189</v>
      </c>
      <c r="N1" s="497"/>
      <c r="O1" s="497"/>
      <c r="P1" s="497"/>
      <c r="Q1" s="498"/>
      <c r="R1" s="496" t="s">
        <v>190</v>
      </c>
      <c r="S1" s="497"/>
      <c r="T1" s="497"/>
      <c r="U1" s="497"/>
      <c r="V1" s="498"/>
      <c r="W1" s="483" t="s">
        <v>211</v>
      </c>
      <c r="X1" s="484"/>
      <c r="Y1" s="484"/>
      <c r="Z1" s="485"/>
    </row>
    <row r="2" spans="1:31" ht="15.75" thickBot="1" x14ac:dyDescent="0.3">
      <c r="A2" s="491"/>
      <c r="B2" s="492"/>
      <c r="C2" s="493" t="s">
        <v>195</v>
      </c>
      <c r="D2" s="494"/>
      <c r="E2" s="494"/>
      <c r="F2" s="494"/>
      <c r="G2" s="495"/>
      <c r="H2" s="493" t="s">
        <v>196</v>
      </c>
      <c r="I2" s="494"/>
      <c r="J2" s="494"/>
      <c r="K2" s="494"/>
      <c r="L2" s="495"/>
      <c r="M2" s="493" t="s">
        <v>197</v>
      </c>
      <c r="N2" s="494"/>
      <c r="O2" s="494"/>
      <c r="P2" s="494"/>
      <c r="Q2" s="495"/>
      <c r="R2" s="499" t="s">
        <v>198</v>
      </c>
      <c r="S2" s="500"/>
      <c r="T2" s="500"/>
      <c r="U2" s="500"/>
      <c r="V2" s="501"/>
      <c r="W2" s="486"/>
      <c r="X2" s="487"/>
      <c r="Y2" s="487"/>
      <c r="Z2" s="488"/>
    </row>
    <row r="3" spans="1:31" ht="63" customHeight="1" x14ac:dyDescent="0.25">
      <c r="A3" s="89" t="s">
        <v>191</v>
      </c>
      <c r="B3" s="100" t="s">
        <v>192</v>
      </c>
      <c r="C3" s="162" t="s">
        <v>200</v>
      </c>
      <c r="D3" s="102" t="s">
        <v>199</v>
      </c>
      <c r="E3" s="166" t="s">
        <v>210</v>
      </c>
      <c r="F3" s="166" t="s">
        <v>205</v>
      </c>
      <c r="G3" s="167" t="s">
        <v>204</v>
      </c>
      <c r="H3" s="101" t="s">
        <v>201</v>
      </c>
      <c r="I3" s="102" t="s">
        <v>199</v>
      </c>
      <c r="J3" s="166" t="s">
        <v>210</v>
      </c>
      <c r="K3" s="166" t="s">
        <v>205</v>
      </c>
      <c r="L3" s="167" t="s">
        <v>204</v>
      </c>
      <c r="M3" s="101" t="s">
        <v>202</v>
      </c>
      <c r="N3" s="102" t="s">
        <v>199</v>
      </c>
      <c r="O3" s="166" t="s">
        <v>210</v>
      </c>
      <c r="P3" s="166" t="s">
        <v>205</v>
      </c>
      <c r="Q3" s="167" t="s">
        <v>204</v>
      </c>
      <c r="R3" s="101" t="s">
        <v>203</v>
      </c>
      <c r="S3" s="102" t="s">
        <v>199</v>
      </c>
      <c r="T3" s="166" t="s">
        <v>210</v>
      </c>
      <c r="U3" s="166" t="s">
        <v>205</v>
      </c>
      <c r="V3" s="167" t="s">
        <v>204</v>
      </c>
      <c r="W3" s="96" t="s">
        <v>206</v>
      </c>
      <c r="X3" s="168" t="s">
        <v>207</v>
      </c>
      <c r="Y3" s="79" t="s">
        <v>208</v>
      </c>
      <c r="Z3" s="88" t="s">
        <v>209</v>
      </c>
      <c r="AB3" s="140" t="s">
        <v>219</v>
      </c>
      <c r="AE3" s="4" t="s">
        <v>358</v>
      </c>
    </row>
    <row r="4" spans="1:31" x14ac:dyDescent="0.25">
      <c r="A4" s="89">
        <v>1</v>
      </c>
      <c r="B4" s="94" t="str">
        <f>+'ind 1'!A4</f>
        <v>Población con empleo pleno</v>
      </c>
      <c r="C4" s="160"/>
      <c r="D4" s="163" t="e">
        <f t="shared" ref="D4:D11" si="0">+(C4*100)/$C$12</f>
        <v>#DIV/0!</v>
      </c>
      <c r="E4" s="83">
        <f>+'Cuadro Resumen'!G4</f>
        <v>103.66400193798458</v>
      </c>
      <c r="F4" s="83">
        <f>+'Cuadro Resumen'!G5</f>
        <v>100</v>
      </c>
      <c r="G4" s="97">
        <f>+C4*F4%</f>
        <v>0</v>
      </c>
      <c r="H4" s="160">
        <f>[2]Hoja1!$H$6</f>
        <v>1250000</v>
      </c>
      <c r="I4" s="164">
        <f>+(H4*100)/$H$12</f>
        <v>12.5</v>
      </c>
      <c r="J4" s="83">
        <f>'ind 1'!I16</f>
        <v>-1125.492670076552</v>
      </c>
      <c r="K4" s="83">
        <f>'ind 1'!J16</f>
        <v>0</v>
      </c>
      <c r="L4" s="284">
        <f t="shared" ref="L4:L11" si="1">+H4*K4%</f>
        <v>0</v>
      </c>
      <c r="M4" s="160">
        <f>[2]Hoja1!$J$6</f>
        <v>1250000</v>
      </c>
      <c r="N4" s="164">
        <f t="shared" ref="N4:N11" si="2">+(M4*100)/M$12</f>
        <v>12.5</v>
      </c>
      <c r="O4" s="83">
        <f>+'Cuadro Resumen'!O4</f>
        <v>74.369128579398648</v>
      </c>
      <c r="P4" s="83">
        <f>+'Cuadro Resumen'!O5</f>
        <v>74.369128579398648</v>
      </c>
      <c r="Q4" s="97">
        <f t="shared" ref="Q4:Q11" si="3">+M4*P4%</f>
        <v>929614.10724248306</v>
      </c>
      <c r="R4" s="160">
        <f>[2]Hoja1!$L$6</f>
        <v>1250000</v>
      </c>
      <c r="S4" s="164">
        <f t="shared" ref="S4:S11" si="4">+(R4*100)/R$12</f>
        <v>12.5</v>
      </c>
      <c r="T4" s="83">
        <f>+'Cuadro Resumen'!S4</f>
        <v>99.862210222901808</v>
      </c>
      <c r="U4" s="83">
        <f>+'Cuadro Resumen'!R5</f>
        <v>98.927926297354503</v>
      </c>
      <c r="V4" s="97">
        <f t="shared" ref="V4:V11" si="5">+R4*U4%</f>
        <v>1236599.0787169314</v>
      </c>
      <c r="W4" s="160">
        <f>C4+H4+M4+R4</f>
        <v>3750000</v>
      </c>
      <c r="X4" s="81">
        <f>+V4+Q4+L4+G4</f>
        <v>2166213.1859594146</v>
      </c>
      <c r="Y4" s="82" t="e">
        <f>SUM(D4+I4+N4+S4)/4</f>
        <v>#DIV/0!</v>
      </c>
      <c r="Z4" s="90">
        <f>+X4/W4%</f>
        <v>57.765684958917724</v>
      </c>
      <c r="AB4" s="161">
        <v>3750000</v>
      </c>
      <c r="AE4" s="231">
        <f>[2]Hoja1!$D$6</f>
        <v>3750000</v>
      </c>
    </row>
    <row r="5" spans="1:31" ht="45" x14ac:dyDescent="0.25">
      <c r="A5" s="89">
        <v>2</v>
      </c>
      <c r="B5" s="94" t="str">
        <f>+'ind 2'!A4</f>
        <v>Proporción de población asalariada inscrita en la Seguridad Social en relación al total de la  población asalariada</v>
      </c>
      <c r="C5" s="160"/>
      <c r="D5" s="164" t="e">
        <f t="shared" si="0"/>
        <v>#DIV/0!</v>
      </c>
      <c r="E5" s="82">
        <f>+'Cuadro Resumen'!G8</f>
        <v>99.983337613451468</v>
      </c>
      <c r="F5" s="82">
        <f>+'Cuadro Resumen'!G9</f>
        <v>99.983337613451468</v>
      </c>
      <c r="G5" s="97">
        <f t="shared" ref="G5:G11" si="6">+C5*F5%</f>
        <v>0</v>
      </c>
      <c r="H5" s="160">
        <f>[2]Hoja1!$H$19</f>
        <v>1250000</v>
      </c>
      <c r="I5" s="164">
        <f>+(H5*100)/$H$12</f>
        <v>12.5</v>
      </c>
      <c r="J5" s="163">
        <f>'ind 2'!H15</f>
        <v>367.27160343978278</v>
      </c>
      <c r="K5" s="163">
        <f>'ind 2'!I15</f>
        <v>100</v>
      </c>
      <c r="L5" s="412">
        <f t="shared" si="1"/>
        <v>1250000</v>
      </c>
      <c r="M5" s="160">
        <f>[2]Hoja1!$J$19</f>
        <v>1250000</v>
      </c>
      <c r="N5" s="164">
        <f t="shared" si="2"/>
        <v>12.5</v>
      </c>
      <c r="O5" s="83">
        <f>+'Cuadro Resumen'!O8</f>
        <v>102.28615543149144</v>
      </c>
      <c r="P5" s="83">
        <f>+'Cuadro Resumen'!O9</f>
        <v>100</v>
      </c>
      <c r="Q5" s="97">
        <f t="shared" si="3"/>
        <v>1250000</v>
      </c>
      <c r="R5" s="160">
        <f>[2]Hoja1!$L$19</f>
        <v>1250000</v>
      </c>
      <c r="S5" s="164">
        <f t="shared" si="4"/>
        <v>12.5</v>
      </c>
      <c r="T5" s="83">
        <f>+'Cuadro Resumen'!S8</f>
        <v>73.042500670778622</v>
      </c>
      <c r="U5" s="83">
        <f>+'Cuadro Resumen'!S9</f>
        <v>73.042500670778622</v>
      </c>
      <c r="V5" s="97">
        <f t="shared" si="5"/>
        <v>913031.25838473276</v>
      </c>
      <c r="W5" s="160">
        <f t="shared" ref="W5:W11" si="7">C5+H5+M5+R5</f>
        <v>3750000</v>
      </c>
      <c r="X5" s="81">
        <f>+V5+Q5+L5+G5</f>
        <v>3413031.2583847325</v>
      </c>
      <c r="Y5" s="82" t="e">
        <f>SUM(D5+I5+N5+S5)/4</f>
        <v>#DIV/0!</v>
      </c>
      <c r="Z5" s="90">
        <f t="shared" ref="Z5:Z11" si="8">+X5/W5%</f>
        <v>91.014166890259531</v>
      </c>
      <c r="AB5" s="123">
        <v>3750000</v>
      </c>
      <c r="AE5" s="231">
        <f>[2]Hoja1!$D$19</f>
        <v>3750000</v>
      </c>
    </row>
    <row r="6" spans="1:31" ht="45" x14ac:dyDescent="0.25">
      <c r="A6" s="89">
        <v>3</v>
      </c>
      <c r="B6" s="94" t="str">
        <f>+'ind 3'!C2</f>
        <v>Indicador 3: Marco regulador del Sistema Nacional de Formación Profesional revisado y fortalecido.</v>
      </c>
      <c r="C6" s="160"/>
      <c r="D6" s="164" t="e">
        <f t="shared" si="0"/>
        <v>#DIV/0!</v>
      </c>
      <c r="E6" s="82">
        <f>+'Cuadro Resumen'!G12</f>
        <v>100</v>
      </c>
      <c r="F6" s="82">
        <f>+'Cuadro Resumen'!G13</f>
        <v>100</v>
      </c>
      <c r="G6" s="97">
        <f t="shared" si="6"/>
        <v>0</v>
      </c>
      <c r="H6" s="160">
        <f>[2]Hoja1!$H$25</f>
        <v>1000000</v>
      </c>
      <c r="I6" s="164">
        <f t="shared" ref="I6:I10" si="9">+(H6*100)/$H$12</f>
        <v>10</v>
      </c>
      <c r="J6" s="316">
        <f>'ind 3'!F15</f>
        <v>100</v>
      </c>
      <c r="K6" s="316">
        <f>'ind 3'!G15</f>
        <v>100</v>
      </c>
      <c r="L6" s="413">
        <f t="shared" si="1"/>
        <v>1000000</v>
      </c>
      <c r="M6" s="160">
        <f>[2]Hoja1!$J$25</f>
        <v>1000000</v>
      </c>
      <c r="N6" s="164">
        <f t="shared" si="2"/>
        <v>10</v>
      </c>
      <c r="O6" s="84">
        <f>+'Cuadro Resumen'!O12</f>
        <v>8</v>
      </c>
      <c r="P6" s="83">
        <f>+'Cuadro Resumen'!O13</f>
        <v>100</v>
      </c>
      <c r="Q6" s="97">
        <f t="shared" si="3"/>
        <v>1000000</v>
      </c>
      <c r="R6" s="160">
        <f>[2]Hoja1!$L$25</f>
        <v>1000000</v>
      </c>
      <c r="S6" s="164">
        <f t="shared" si="4"/>
        <v>10</v>
      </c>
      <c r="T6" s="80">
        <f>+'Cuadro Resumen'!S12</f>
        <v>8</v>
      </c>
      <c r="U6" s="80">
        <f>+'Cuadro Resumen'!S13</f>
        <v>100</v>
      </c>
      <c r="V6" s="97">
        <f t="shared" si="5"/>
        <v>1000000</v>
      </c>
      <c r="W6" s="160">
        <f t="shared" si="7"/>
        <v>3000000</v>
      </c>
      <c r="X6" s="81">
        <f t="shared" ref="X6:X11" si="10">+V6+Q6+L6+G6</f>
        <v>3000000</v>
      </c>
      <c r="Y6" s="82" t="e">
        <f t="shared" ref="Y6:Y11" si="11">SUM(D6+I6+N6+S6)/4</f>
        <v>#DIV/0!</v>
      </c>
      <c r="Z6" s="90">
        <f t="shared" si="8"/>
        <v>100</v>
      </c>
      <c r="AB6" s="123">
        <v>3000000</v>
      </c>
      <c r="AE6" s="231">
        <f>[2]Hoja1!$D$25</f>
        <v>3000000</v>
      </c>
    </row>
    <row r="7" spans="1:31" ht="45" x14ac:dyDescent="0.25">
      <c r="A7" s="89">
        <v>4</v>
      </c>
      <c r="B7" s="94" t="str">
        <f>+'ind 4'!A4</f>
        <v>Porcentaje de población formada y certificada en el Sistema Nacional de Formación Profesional</v>
      </c>
      <c r="C7" s="160"/>
      <c r="D7" s="164" t="e">
        <f t="shared" si="0"/>
        <v>#DIV/0!</v>
      </c>
      <c r="E7" s="85">
        <f>+'Cuadro Resumen'!G16</f>
        <v>1</v>
      </c>
      <c r="F7" s="82">
        <f>+'Cuadro Resumen'!G17</f>
        <v>100</v>
      </c>
      <c r="G7" s="97">
        <f t="shared" si="6"/>
        <v>0</v>
      </c>
      <c r="H7" s="160">
        <f>[2]Hoja1!$H$28</f>
        <v>1500000</v>
      </c>
      <c r="I7" s="164">
        <f t="shared" si="9"/>
        <v>15</v>
      </c>
      <c r="J7" s="318">
        <f>'ind 4'!J15</f>
        <v>112.7</v>
      </c>
      <c r="K7" s="318">
        <f>'ind 4'!K15</f>
        <v>100</v>
      </c>
      <c r="L7" s="317">
        <f t="shared" si="1"/>
        <v>1500000</v>
      </c>
      <c r="M7" s="160">
        <f>[2]Hoja1!$J$28</f>
        <v>1500000</v>
      </c>
      <c r="N7" s="164">
        <f t="shared" si="2"/>
        <v>15</v>
      </c>
      <c r="O7" s="87">
        <f>+'Cuadro Resumen'!O16</f>
        <v>58.333333333333336</v>
      </c>
      <c r="P7" s="87">
        <f>+'Cuadro Resumen'!O17</f>
        <v>58.333333333333336</v>
      </c>
      <c r="Q7" s="99">
        <f t="shared" si="3"/>
        <v>875000</v>
      </c>
      <c r="R7" s="160">
        <f>[2]Hoja1!$L$28</f>
        <v>1500000</v>
      </c>
      <c r="S7" s="164">
        <f t="shared" si="4"/>
        <v>15</v>
      </c>
      <c r="T7" s="86">
        <f>+'Cuadro Resumen'!S16</f>
        <v>68.75</v>
      </c>
      <c r="U7" s="86">
        <f>+'Cuadro Resumen'!S17</f>
        <v>68.75</v>
      </c>
      <c r="V7" s="97">
        <f t="shared" si="5"/>
        <v>1031250</v>
      </c>
      <c r="W7" s="160">
        <f t="shared" si="7"/>
        <v>4500000</v>
      </c>
      <c r="X7" s="81">
        <f t="shared" si="10"/>
        <v>3406250</v>
      </c>
      <c r="Y7" s="82" t="e">
        <f t="shared" si="11"/>
        <v>#DIV/0!</v>
      </c>
      <c r="Z7" s="90">
        <f t="shared" si="8"/>
        <v>75.694444444444443</v>
      </c>
      <c r="AB7" s="123">
        <v>4500000</v>
      </c>
      <c r="AE7" s="231">
        <f>[2]Hoja1!$D$28</f>
        <v>4500000</v>
      </c>
    </row>
    <row r="8" spans="1:31" ht="45.75" customHeight="1" x14ac:dyDescent="0.25">
      <c r="A8" s="89">
        <v>5</v>
      </c>
      <c r="B8" s="320" t="str">
        <f>+'ind 5'!D2</f>
        <v>Indicador 5: Nivel de avance en la simplifación de los procesos de registro y operación de MiPYME.</v>
      </c>
      <c r="C8" s="160"/>
      <c r="D8" s="164" t="e">
        <f t="shared" si="0"/>
        <v>#DIV/0!</v>
      </c>
      <c r="E8" s="85">
        <f>+'Cuadro Resumen'!G20</f>
        <v>1</v>
      </c>
      <c r="F8" s="82">
        <f>+'Cuadro Resumen'!G21</f>
        <v>100</v>
      </c>
      <c r="G8" s="97">
        <f t="shared" si="6"/>
        <v>0</v>
      </c>
      <c r="H8" s="160">
        <f>[2]Hoja1!$H$34</f>
        <v>1000000</v>
      </c>
      <c r="I8" s="164">
        <f t="shared" si="9"/>
        <v>10</v>
      </c>
      <c r="J8" s="318">
        <f>'ind 5'!F16</f>
        <v>100</v>
      </c>
      <c r="K8" s="318">
        <f>'ind 5'!G16</f>
        <v>100</v>
      </c>
      <c r="L8" s="413">
        <f t="shared" si="1"/>
        <v>1000000</v>
      </c>
      <c r="M8" s="160">
        <f>[2]Hoja1!$J$34</f>
        <v>1000000</v>
      </c>
      <c r="N8" s="164">
        <f t="shared" si="2"/>
        <v>10</v>
      </c>
      <c r="O8" s="83">
        <f>+'Cuadro Resumen'!O20</f>
        <v>1</v>
      </c>
      <c r="P8" s="83">
        <f>+'Cuadro Resumen'!O21</f>
        <v>100</v>
      </c>
      <c r="Q8" s="97">
        <f t="shared" si="3"/>
        <v>1000000</v>
      </c>
      <c r="R8" s="160">
        <f>[2]Hoja1!$L$34</f>
        <v>1000000</v>
      </c>
      <c r="S8" s="164">
        <f t="shared" si="4"/>
        <v>10</v>
      </c>
      <c r="T8" s="86">
        <f>+'Cuadro Resumen'!S20</f>
        <v>100</v>
      </c>
      <c r="U8" s="86">
        <f>+'Cuadro Resumen'!S21</f>
        <v>100</v>
      </c>
      <c r="V8" s="97">
        <f t="shared" si="5"/>
        <v>1000000</v>
      </c>
      <c r="W8" s="160">
        <f t="shared" si="7"/>
        <v>3000000</v>
      </c>
      <c r="X8" s="81">
        <f t="shared" si="10"/>
        <v>3000000</v>
      </c>
      <c r="Y8" s="82" t="e">
        <f t="shared" si="11"/>
        <v>#DIV/0!</v>
      </c>
      <c r="Z8" s="90">
        <f t="shared" si="8"/>
        <v>100</v>
      </c>
      <c r="AB8" s="123">
        <v>3000000</v>
      </c>
      <c r="AE8" s="231">
        <f>[2]Hoja1!$D$34</f>
        <v>3000000</v>
      </c>
    </row>
    <row r="9" spans="1:31" ht="45" customHeight="1" x14ac:dyDescent="0.25">
      <c r="A9" s="89">
        <v>6</v>
      </c>
      <c r="B9" s="94" t="str">
        <f>+'ind 6'!A4</f>
        <v>Proporción del monto de créditos directos desembolsados a empresarias.</v>
      </c>
      <c r="C9" s="160"/>
      <c r="D9" s="164" t="e">
        <f t="shared" si="0"/>
        <v>#DIV/0!</v>
      </c>
      <c r="E9" s="82">
        <f>+'Cuadro Resumen'!G24</f>
        <v>101.0154573582613</v>
      </c>
      <c r="F9" s="82">
        <f>+'Cuadro Resumen'!G25</f>
        <v>100</v>
      </c>
      <c r="G9" s="97">
        <f t="shared" si="6"/>
        <v>0</v>
      </c>
      <c r="H9" s="160">
        <f>[2]Hoja1!$H$37</f>
        <v>1500000</v>
      </c>
      <c r="I9" s="164">
        <f t="shared" si="9"/>
        <v>15</v>
      </c>
      <c r="J9" s="164">
        <f>'ind 6'!$H$16</f>
        <v>683.40474444232791</v>
      </c>
      <c r="K9" s="164">
        <f>'ind 6'!$I$16</f>
        <v>100</v>
      </c>
      <c r="L9" s="412">
        <f t="shared" si="1"/>
        <v>1500000</v>
      </c>
      <c r="M9" s="160">
        <f>[2]Hoja1!$J$37</f>
        <v>1500000</v>
      </c>
      <c r="N9" s="164">
        <f t="shared" si="2"/>
        <v>15</v>
      </c>
      <c r="O9" s="83">
        <f>+'Cuadro Resumen'!O24</f>
        <v>55.989710136893521</v>
      </c>
      <c r="P9" s="83">
        <f>+'Cuadro Resumen'!O25</f>
        <v>55.989710136893521</v>
      </c>
      <c r="Q9" s="97">
        <f t="shared" si="3"/>
        <v>839845.65205340285</v>
      </c>
      <c r="R9" s="160">
        <f>[2]Hoja1!$L$37</f>
        <v>1500000</v>
      </c>
      <c r="S9" s="164">
        <f t="shared" si="4"/>
        <v>15</v>
      </c>
      <c r="T9" s="80">
        <f>+'Cuadro Resumen'!S24</f>
        <v>100</v>
      </c>
      <c r="U9" s="80">
        <f>+'Cuadro Resumen'!S25</f>
        <v>100</v>
      </c>
      <c r="V9" s="97">
        <f t="shared" si="5"/>
        <v>1500000</v>
      </c>
      <c r="W9" s="160">
        <f t="shared" si="7"/>
        <v>4500000</v>
      </c>
      <c r="X9" s="81">
        <f t="shared" si="10"/>
        <v>3839845.6520534027</v>
      </c>
      <c r="Y9" s="82" t="e">
        <f t="shared" si="11"/>
        <v>#DIV/0!</v>
      </c>
      <c r="Z9" s="90">
        <f t="shared" si="8"/>
        <v>85.329903378964502</v>
      </c>
      <c r="AB9" s="123">
        <v>4500000</v>
      </c>
      <c r="AE9" s="231">
        <f>[2]Hoja1!$D$37</f>
        <v>4500000</v>
      </c>
    </row>
    <row r="10" spans="1:31" ht="60" x14ac:dyDescent="0.25">
      <c r="A10" s="89">
        <v>7</v>
      </c>
      <c r="B10" s="94" t="str">
        <f>+'ind 7'!B4</f>
        <v>Cobertura Geográfica de los servicios prestados en los Centros de Atención Integral para Buscadores de Empleo y Oportunidades (CEOs)</v>
      </c>
      <c r="C10" s="160"/>
      <c r="D10" s="164" t="e">
        <f t="shared" si="0"/>
        <v>#DIV/0!</v>
      </c>
      <c r="E10" s="82">
        <f>+'Cuadro Resumen'!G28</f>
        <v>100</v>
      </c>
      <c r="F10" s="82">
        <f>+'Cuadro Resumen'!G29</f>
        <v>100</v>
      </c>
      <c r="G10" s="97">
        <f t="shared" si="6"/>
        <v>0</v>
      </c>
      <c r="H10" s="160">
        <f>[2]Hoja1!$H$43</f>
        <v>1500000</v>
      </c>
      <c r="I10" s="164">
        <f t="shared" si="9"/>
        <v>15</v>
      </c>
      <c r="J10" s="316">
        <f>'ind 7'!N9</f>
        <v>100</v>
      </c>
      <c r="K10" s="316">
        <f>'ind 7'!O9</f>
        <v>100</v>
      </c>
      <c r="L10" s="317">
        <f t="shared" si="1"/>
        <v>1500000</v>
      </c>
      <c r="M10" s="160">
        <f>[2]Hoja1!$J$43</f>
        <v>1500000</v>
      </c>
      <c r="N10" s="164">
        <f t="shared" si="2"/>
        <v>15</v>
      </c>
      <c r="O10" s="83">
        <f>+'Cuadro Resumen'!O28</f>
        <v>87.5</v>
      </c>
      <c r="P10" s="83">
        <f>+'Cuadro Resumen'!O29</f>
        <v>87.5</v>
      </c>
      <c r="Q10" s="97">
        <f t="shared" si="3"/>
        <v>1312500</v>
      </c>
      <c r="R10" s="160">
        <f>[2]Hoja1!$L$43</f>
        <v>1500000</v>
      </c>
      <c r="S10" s="164">
        <f t="shared" si="4"/>
        <v>15</v>
      </c>
      <c r="T10" s="83">
        <f>+'Cuadro Resumen'!S28</f>
        <v>88.235294117647058</v>
      </c>
      <c r="U10" s="83">
        <f>+'Cuadro Resumen'!S29</f>
        <v>88.235294117647058</v>
      </c>
      <c r="V10" s="97">
        <f t="shared" si="5"/>
        <v>1323529.4117647058</v>
      </c>
      <c r="W10" s="160">
        <f t="shared" si="7"/>
        <v>4500000</v>
      </c>
      <c r="X10" s="81">
        <f t="shared" si="10"/>
        <v>4136029.4117647056</v>
      </c>
      <c r="Y10" s="82" t="e">
        <f t="shared" si="11"/>
        <v>#DIV/0!</v>
      </c>
      <c r="Z10" s="90">
        <f t="shared" si="8"/>
        <v>91.911764705882348</v>
      </c>
      <c r="AB10" s="123">
        <v>4500000</v>
      </c>
      <c r="AE10" s="231">
        <f>[2]Hoja1!$D$43</f>
        <v>4500000</v>
      </c>
    </row>
    <row r="11" spans="1:31" ht="113.25" customHeight="1" x14ac:dyDescent="0.25">
      <c r="A11" s="89">
        <v>8</v>
      </c>
      <c r="B11" s="94" t="str">
        <f>+'ind 8'!A4</f>
        <v>Variación en la movilización de recursos del Tesoro Nacional en el financiamiento de los Programas Estratégicos del PEI,  de la Secretaria de Trabajo y Seguridad Social, Secretaria de Desarrollo Económico y Secretaria de Agricultura.</v>
      </c>
      <c r="C11" s="160"/>
      <c r="D11" s="164" t="e">
        <f t="shared" si="0"/>
        <v>#DIV/0!</v>
      </c>
      <c r="E11" s="82">
        <f>+'Cuadro Resumen'!G32</f>
        <v>457542.96200680727</v>
      </c>
      <c r="F11" s="82">
        <f>+'Cuadro Resumen'!G33</f>
        <v>100</v>
      </c>
      <c r="G11" s="97">
        <f t="shared" si="6"/>
        <v>0</v>
      </c>
      <c r="H11" s="160">
        <f>[2]Hoja1!$H$48</f>
        <v>1000000</v>
      </c>
      <c r="I11" s="164">
        <f>+(H11*100)/H$12</f>
        <v>10</v>
      </c>
      <c r="J11" s="316">
        <f>'ind 8'!H16</f>
        <v>16082.22565019891</v>
      </c>
      <c r="K11" s="316">
        <f>'ind 8'!I16</f>
        <v>100</v>
      </c>
      <c r="L11" s="317">
        <f t="shared" si="1"/>
        <v>1000000</v>
      </c>
      <c r="M11" s="160">
        <f>[2]Hoja1!$J$48</f>
        <v>1000000</v>
      </c>
      <c r="N11" s="164">
        <f t="shared" si="2"/>
        <v>10</v>
      </c>
      <c r="O11" s="83">
        <f>+'Cuadro Resumen'!O32</f>
        <v>99.496016959644123</v>
      </c>
      <c r="P11" s="83">
        <f>+'Cuadro Resumen'!O33</f>
        <v>99.496016959644123</v>
      </c>
      <c r="Q11" s="97">
        <f t="shared" si="3"/>
        <v>994960.16959644121</v>
      </c>
      <c r="R11" s="160">
        <f>[2]Hoja1!$L$48</f>
        <v>1000000</v>
      </c>
      <c r="S11" s="164">
        <f t="shared" si="4"/>
        <v>10</v>
      </c>
      <c r="T11" s="83">
        <f>+'Cuadro Resumen'!S32</f>
        <v>81.857198821840925</v>
      </c>
      <c r="U11" s="83">
        <f>+'Cuadro Resumen'!S33</f>
        <v>81.857198821840925</v>
      </c>
      <c r="V11" s="97">
        <f t="shared" si="5"/>
        <v>818571.98821840924</v>
      </c>
      <c r="W11" s="160">
        <f t="shared" si="7"/>
        <v>3000000</v>
      </c>
      <c r="X11" s="81">
        <f t="shared" si="10"/>
        <v>2813532.1578148506</v>
      </c>
      <c r="Y11" s="82" t="e">
        <f t="shared" si="11"/>
        <v>#DIV/0!</v>
      </c>
      <c r="Z11" s="90">
        <f t="shared" si="8"/>
        <v>93.784405260495021</v>
      </c>
      <c r="AB11" s="123">
        <v>3000000</v>
      </c>
      <c r="AE11" s="231">
        <f>[2]Hoja1!$D$48</f>
        <v>3000000</v>
      </c>
    </row>
    <row r="12" spans="1:31" ht="15.75" thickBot="1" x14ac:dyDescent="0.3">
      <c r="A12" s="91"/>
      <c r="B12" s="95" t="s">
        <v>193</v>
      </c>
      <c r="C12" s="141">
        <f>SUM(C4:C11)</f>
        <v>0</v>
      </c>
      <c r="D12" s="165" t="e">
        <f>+D11+D10+D9+D8+D7+D6+D5+D4</f>
        <v>#DIV/0!</v>
      </c>
      <c r="E12" s="92"/>
      <c r="F12" s="92">
        <f>+(F4+F5+F6+F7+F8+F9+F10+F11)/8</f>
        <v>99.997917201681432</v>
      </c>
      <c r="G12" s="98">
        <f>SUM(G4:G11)</f>
        <v>0</v>
      </c>
      <c r="H12" s="141">
        <f>SUM(H4:H11)</f>
        <v>10000000</v>
      </c>
      <c r="I12" s="165">
        <f>+I11+I10+I9+I8+I7+I6+I5+I4</f>
        <v>100</v>
      </c>
      <c r="J12" s="92"/>
      <c r="K12" s="165">
        <f>+(K4+K5+K6+K7+K8+K9+K10+K11)/8</f>
        <v>87.5</v>
      </c>
      <c r="L12" s="319">
        <f>SUM(L4:L11)</f>
        <v>8750000</v>
      </c>
      <c r="M12" s="141">
        <f>SUM(M4:M11)</f>
        <v>10000000</v>
      </c>
      <c r="N12" s="165">
        <f>+N11+N10+N9+N8+N7+N6+N5+N4</f>
        <v>100</v>
      </c>
      <c r="O12" s="92"/>
      <c r="P12" s="92">
        <f>+(P4+P5+P6+P7+P8+P9+P10+P11)/8</f>
        <v>84.461023626158692</v>
      </c>
      <c r="Q12" s="98">
        <f>SUM(Q4:Q11)</f>
        <v>8201919.9288923275</v>
      </c>
      <c r="R12" s="141">
        <f>SUM(R4:R11)</f>
        <v>10000000</v>
      </c>
      <c r="S12" s="165">
        <f>+S11+S10+S9+S8+S7+S6+S5+S4</f>
        <v>100</v>
      </c>
      <c r="T12" s="92"/>
      <c r="U12" s="92">
        <f>+(U4+U5+U6+U7+U8+U9+U10+U11)/8</f>
        <v>88.851614988452638</v>
      </c>
      <c r="V12" s="98">
        <f>SUM(V4:V11)</f>
        <v>8822981.7370847799</v>
      </c>
      <c r="W12" s="141">
        <f>SUM(W4:W11)</f>
        <v>30000000</v>
      </c>
      <c r="X12" s="93">
        <f>SUM(X4:X11)</f>
        <v>25774901.665977102</v>
      </c>
      <c r="Y12" s="92" t="e">
        <f>SUM(Y4:Y11)</f>
        <v>#DIV/0!</v>
      </c>
      <c r="Z12" s="143">
        <f>+(Z4+Z5+Z6+Z7+Z8+Z9+Z10+Z11)/8</f>
        <v>86.937546204870443</v>
      </c>
      <c r="AB12" s="123">
        <f>SUM(AB4:AB11)</f>
        <v>30000000</v>
      </c>
      <c r="AE12" s="322">
        <f>SUM(AE4:AE11)</f>
        <v>30000000</v>
      </c>
    </row>
    <row r="13" spans="1:31" x14ac:dyDescent="0.25">
      <c r="Z13" s="142">
        <f>X12/W12</f>
        <v>0.85916338886590338</v>
      </c>
    </row>
  </sheetData>
  <mergeCells count="10">
    <mergeCell ref="W1:Z2"/>
    <mergeCell ref="A1:B2"/>
    <mergeCell ref="H2:L2"/>
    <mergeCell ref="C2:G2"/>
    <mergeCell ref="M2:Q2"/>
    <mergeCell ref="R1:V1"/>
    <mergeCell ref="M1:Q1"/>
    <mergeCell ref="H1:L1"/>
    <mergeCell ref="C1:G1"/>
    <mergeCell ref="R2:V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2"/>
  <sheetViews>
    <sheetView topLeftCell="D4" zoomScale="130" zoomScaleNormal="130" workbookViewId="0">
      <selection activeCell="J9" sqref="J9"/>
    </sheetView>
  </sheetViews>
  <sheetFormatPr baseColWidth="10" defaultColWidth="8.85546875" defaultRowHeight="15" x14ac:dyDescent="0.25"/>
  <cols>
    <col min="1" max="1" width="34.140625" customWidth="1"/>
    <col min="2" max="2" width="27" customWidth="1"/>
    <col min="3" max="3" width="24.85546875" customWidth="1"/>
    <col min="4" max="5" width="11" style="123" customWidth="1"/>
    <col min="6" max="6" width="11" customWidth="1"/>
    <col min="9" max="9" width="12.5703125" bestFit="1" customWidth="1"/>
  </cols>
  <sheetData>
    <row r="1" spans="1:18" x14ac:dyDescent="0.25">
      <c r="A1" t="s">
        <v>0</v>
      </c>
    </row>
    <row r="2" spans="1:18" x14ac:dyDescent="0.25">
      <c r="D2" s="432" t="s">
        <v>10</v>
      </c>
      <c r="E2" s="432"/>
      <c r="F2" s="432"/>
    </row>
    <row r="3" spans="1:18" ht="61.35" customHeight="1" thickBot="1" x14ac:dyDescent="0.3">
      <c r="A3" t="s">
        <v>31</v>
      </c>
      <c r="B3" t="s">
        <v>3</v>
      </c>
      <c r="C3" t="s">
        <v>32</v>
      </c>
      <c r="D3" s="274" t="s">
        <v>103</v>
      </c>
      <c r="E3" s="274" t="s">
        <v>104</v>
      </c>
      <c r="F3" s="275" t="s">
        <v>105</v>
      </c>
      <c r="G3" s="276" t="s">
        <v>11</v>
      </c>
      <c r="H3" s="175" t="s">
        <v>18</v>
      </c>
      <c r="I3" s="276" t="s">
        <v>25</v>
      </c>
    </row>
    <row r="4" spans="1:18" ht="63" customHeight="1" x14ac:dyDescent="0.25">
      <c r="A4" s="73" t="s">
        <v>169</v>
      </c>
      <c r="B4" s="1" t="s">
        <v>2</v>
      </c>
      <c r="C4" s="12" t="s">
        <v>102</v>
      </c>
      <c r="D4" s="125">
        <v>795118</v>
      </c>
      <c r="E4" s="187">
        <v>1908586</v>
      </c>
      <c r="F4" s="36">
        <f>(D4/E4)*100</f>
        <v>41.660056188193771</v>
      </c>
      <c r="G4" s="41">
        <f>F4</f>
        <v>41.660056188193771</v>
      </c>
      <c r="H4" s="7">
        <v>42.6</v>
      </c>
      <c r="J4" s="417" t="s">
        <v>360</v>
      </c>
      <c r="K4" s="418"/>
      <c r="L4" s="418"/>
      <c r="M4" s="418"/>
      <c r="N4" s="418"/>
      <c r="O4" s="418"/>
      <c r="P4" s="419"/>
      <c r="Q4" s="325"/>
      <c r="R4" s="326"/>
    </row>
    <row r="5" spans="1:18" ht="15.75" thickBot="1" x14ac:dyDescent="0.3">
      <c r="B5" s="8" t="s">
        <v>17</v>
      </c>
      <c r="C5" t="s">
        <v>214</v>
      </c>
      <c r="D5" s="128">
        <v>800000</v>
      </c>
      <c r="E5" s="128">
        <v>1910000</v>
      </c>
      <c r="F5" s="50">
        <f t="shared" ref="F5:F8" si="0">(D5/E5)*100</f>
        <v>41.8848167539267</v>
      </c>
      <c r="G5" s="52">
        <f>F5</f>
        <v>41.8848167539267</v>
      </c>
      <c r="H5" s="54">
        <f>+((G5-$G$4)/($H$4-$G$4))*100</f>
        <v>23.912127821876989</v>
      </c>
      <c r="I5" s="52">
        <f>IF(H5&lt;50,0,IF(H5&gt;100,100,IF(H5&gt;50,H5,)))</f>
        <v>0</v>
      </c>
      <c r="J5" s="420"/>
      <c r="K5" s="421"/>
      <c r="L5" s="421"/>
      <c r="M5" s="421"/>
      <c r="N5" s="421"/>
      <c r="O5" s="421"/>
      <c r="P5" s="422"/>
      <c r="Q5" s="327"/>
      <c r="R5" s="328"/>
    </row>
    <row r="6" spans="1:18" ht="14.45" customHeight="1" x14ac:dyDescent="0.25">
      <c r="A6" s="71" t="s">
        <v>159</v>
      </c>
      <c r="B6" s="8"/>
      <c r="C6" t="s">
        <v>215</v>
      </c>
      <c r="D6" s="123">
        <f>+D5+6000</f>
        <v>806000</v>
      </c>
      <c r="E6" s="123">
        <f>+E5+1500</f>
        <v>1911500</v>
      </c>
      <c r="F6" s="36">
        <f t="shared" si="0"/>
        <v>42.16583834684802</v>
      </c>
      <c r="G6" s="52">
        <f>F6</f>
        <v>42.16583834684802</v>
      </c>
      <c r="H6" s="54">
        <f t="shared" ref="H6:H8" si="1">+((G6-$G$4)/($H$4-$G$4))*100</f>
        <v>53.809829087796125</v>
      </c>
      <c r="I6" s="52">
        <f>IF(H6&lt;50,0,IF(H6&gt;100,100,IF(H6&gt;50,H6,)))</f>
        <v>53.809829087796125</v>
      </c>
      <c r="J6" s="420"/>
      <c r="K6" s="421"/>
      <c r="L6" s="421"/>
      <c r="M6" s="421"/>
      <c r="N6" s="421"/>
      <c r="O6" s="421"/>
      <c r="P6" s="422"/>
      <c r="Q6" s="327"/>
      <c r="R6" s="328"/>
    </row>
    <row r="7" spans="1:18" ht="14.45" customHeight="1" x14ac:dyDescent="0.25">
      <c r="A7" s="72" t="s">
        <v>160</v>
      </c>
      <c r="B7" s="8"/>
      <c r="C7" t="s">
        <v>216</v>
      </c>
      <c r="D7" s="123">
        <f>+D6+6000</f>
        <v>812000</v>
      </c>
      <c r="E7" s="123">
        <f t="shared" ref="E7:E8" si="2">+E6+2000</f>
        <v>1913500</v>
      </c>
      <c r="F7" s="36">
        <f t="shared" si="0"/>
        <v>42.435327933106869</v>
      </c>
      <c r="G7" s="52">
        <f>F7</f>
        <v>42.435327933106869</v>
      </c>
      <c r="H7" s="54">
        <f t="shared" si="1"/>
        <v>82.480647797798426</v>
      </c>
      <c r="I7" s="52">
        <f>IF(H7&lt;50,0,IF(H7&gt;100,100,IF(H7&gt;50,H7,)))</f>
        <v>82.480647797798426</v>
      </c>
      <c r="J7" s="420"/>
      <c r="K7" s="421"/>
      <c r="L7" s="421"/>
      <c r="M7" s="421"/>
      <c r="N7" s="421"/>
      <c r="O7" s="421"/>
      <c r="P7" s="422"/>
      <c r="Q7" s="327"/>
      <c r="R7" s="328"/>
    </row>
    <row r="8" spans="1:18" ht="19.5" customHeight="1" thickBot="1" x14ac:dyDescent="0.3">
      <c r="A8" s="72"/>
      <c r="C8" t="s">
        <v>217</v>
      </c>
      <c r="D8" s="123">
        <f>+D7+4000</f>
        <v>816000</v>
      </c>
      <c r="E8" s="123">
        <f t="shared" si="2"/>
        <v>1915500</v>
      </c>
      <c r="F8" s="36">
        <f t="shared" si="0"/>
        <v>42.599843382928739</v>
      </c>
      <c r="G8" s="52">
        <f>F8</f>
        <v>42.599843382928739</v>
      </c>
      <c r="H8" s="54">
        <f t="shared" si="1"/>
        <v>99.983337613451468</v>
      </c>
      <c r="I8" s="52">
        <f>IF(H8&lt;50,0,IF(H8&gt;100,100,IF(H8&gt;50,H8,)))</f>
        <v>99.983337613451468</v>
      </c>
      <c r="J8" s="423"/>
      <c r="K8" s="424"/>
      <c r="L8" s="424"/>
      <c r="M8" s="424"/>
      <c r="N8" s="424"/>
      <c r="O8" s="424"/>
      <c r="P8" s="425"/>
      <c r="Q8" s="327"/>
      <c r="R8" s="328"/>
    </row>
    <row r="9" spans="1:18" ht="17.25" customHeight="1" thickBot="1" x14ac:dyDescent="0.3">
      <c r="A9" s="72" t="s">
        <v>161</v>
      </c>
      <c r="F9" s="36"/>
      <c r="G9" s="63">
        <v>2019</v>
      </c>
      <c r="H9" s="51">
        <v>2020</v>
      </c>
      <c r="I9" s="52"/>
      <c r="J9" s="331"/>
      <c r="K9" s="329"/>
      <c r="L9" s="329"/>
      <c r="M9" s="329"/>
      <c r="N9" s="329"/>
      <c r="O9" s="329"/>
      <c r="P9" s="329"/>
      <c r="Q9" s="329"/>
      <c r="R9" s="330"/>
    </row>
    <row r="10" spans="1:18" ht="12" customHeight="1" x14ac:dyDescent="0.25">
      <c r="A10" s="433" t="s">
        <v>166</v>
      </c>
      <c r="B10" s="9"/>
      <c r="C10" s="4">
        <v>2020</v>
      </c>
      <c r="G10" s="64">
        <f>+G8</f>
        <v>42.599843382928739</v>
      </c>
      <c r="H10">
        <v>43.5</v>
      </c>
      <c r="I10" s="52"/>
      <c r="K10" s="66" t="s">
        <v>170</v>
      </c>
    </row>
    <row r="11" spans="1:18" ht="12" customHeight="1" x14ac:dyDescent="0.25">
      <c r="A11" s="433"/>
      <c r="B11" s="14" t="s">
        <v>20</v>
      </c>
      <c r="C11" t="s">
        <v>214</v>
      </c>
      <c r="D11" s="205">
        <f>815000+3000</f>
        <v>818000</v>
      </c>
      <c r="E11" s="205">
        <v>1917500</v>
      </c>
      <c r="F11" s="207">
        <f t="shared" ref="F11:F15" si="3">(D11/E11)*100</f>
        <v>42.659713168187743</v>
      </c>
      <c r="G11" s="52">
        <f>F11</f>
        <v>42.659713168187743</v>
      </c>
      <c r="H11" s="31">
        <f>+((G11-$G$10)/($H$10-$G$10))*100</f>
        <v>6.6510409548279723</v>
      </c>
      <c r="I11" s="52">
        <f>IF(H11&lt;50,0,IF(H11&gt;100,100,IF(H11&gt;50,H11,)))</f>
        <v>0</v>
      </c>
    </row>
    <row r="12" spans="1:18" ht="12" customHeight="1" x14ac:dyDescent="0.25">
      <c r="A12" s="433"/>
      <c r="B12" s="14" t="s">
        <v>99</v>
      </c>
      <c r="C12" t="s">
        <v>215</v>
      </c>
      <c r="D12" s="205">
        <f t="shared" ref="D12:D14" si="4">+D11+6000</f>
        <v>824000</v>
      </c>
      <c r="E12" s="205">
        <f>+E11+2000</f>
        <v>1919500</v>
      </c>
      <c r="F12" s="207">
        <f t="shared" si="3"/>
        <v>42.927845793175308</v>
      </c>
      <c r="G12" s="52">
        <f>F12</f>
        <v>42.927845793175308</v>
      </c>
      <c r="H12" s="31">
        <f t="shared" ref="H12:H15" si="5">+((G12-$G$10)/($H$10-$G$10))*100</f>
        <v>36.438371281850237</v>
      </c>
      <c r="I12" s="52">
        <f>IF(H12&lt;50,0,IF(H12&gt;100,100,IF(H12&gt;50,H12,)))</f>
        <v>0</v>
      </c>
    </row>
    <row r="13" spans="1:18" ht="12" customHeight="1" x14ac:dyDescent="0.25">
      <c r="A13" s="434" t="s">
        <v>167</v>
      </c>
      <c r="B13" s="14" t="s">
        <v>100</v>
      </c>
      <c r="C13" t="s">
        <v>216</v>
      </c>
      <c r="D13" s="205">
        <f t="shared" si="4"/>
        <v>830000</v>
      </c>
      <c r="E13" s="205">
        <f t="shared" ref="E13:E14" si="6">+E12+2000</f>
        <v>1921500</v>
      </c>
      <c r="F13" s="207">
        <f t="shared" si="3"/>
        <v>43.195420244600577</v>
      </c>
      <c r="G13" s="52">
        <f>F13</f>
        <v>43.195420244600577</v>
      </c>
      <c r="H13" s="31">
        <f t="shared" si="5"/>
        <v>66.163693114826998</v>
      </c>
      <c r="I13" s="52">
        <f>IF(H13&lt;50,0,IF(H13&gt;100,100,IF(H13&gt;50,H13,)))</f>
        <v>66.163693114826998</v>
      </c>
    </row>
    <row r="14" spans="1:18" ht="12" customHeight="1" thickBot="1" x14ac:dyDescent="0.3">
      <c r="A14" s="434"/>
      <c r="B14" s="14" t="s">
        <v>101</v>
      </c>
      <c r="C14" t="s">
        <v>217</v>
      </c>
      <c r="D14" s="205">
        <f t="shared" si="4"/>
        <v>836000</v>
      </c>
      <c r="E14" s="205">
        <f t="shared" si="6"/>
        <v>1923500</v>
      </c>
      <c r="F14" s="207">
        <f t="shared" si="3"/>
        <v>43.462438263582008</v>
      </c>
      <c r="G14" s="52">
        <f>F14</f>
        <v>43.462438263582008</v>
      </c>
      <c r="H14" s="31">
        <f t="shared" si="5"/>
        <v>95.827199877705496</v>
      </c>
      <c r="I14" s="52">
        <f>IF(H14&lt;50,0,IF(H14&gt;100,100,IF(H14&gt;50,H14,)))</f>
        <v>95.827199877705496</v>
      </c>
    </row>
    <row r="15" spans="1:18" ht="27" thickBot="1" x14ac:dyDescent="0.45">
      <c r="A15" s="133"/>
      <c r="B15" s="14"/>
      <c r="C15" s="4" t="s">
        <v>249</v>
      </c>
      <c r="D15" s="183">
        <v>782902</v>
      </c>
      <c r="E15" s="184">
        <v>1705451</v>
      </c>
      <c r="F15" s="238">
        <f t="shared" si="3"/>
        <v>45.905863023915664</v>
      </c>
      <c r="G15" s="185">
        <f>F15</f>
        <v>45.905863023915664</v>
      </c>
      <c r="H15" s="186">
        <f t="shared" si="5"/>
        <v>367.27160343978278</v>
      </c>
      <c r="I15" s="324">
        <f>IF(H15&lt;50,0,IF(H15&gt;100,100,IF(H15&gt;50,H15,)))</f>
        <v>100</v>
      </c>
    </row>
    <row r="16" spans="1:18" ht="12" customHeight="1" x14ac:dyDescent="0.25">
      <c r="A16" s="428" t="s">
        <v>168</v>
      </c>
      <c r="G16" s="65">
        <v>2020</v>
      </c>
      <c r="H16" s="49">
        <v>2021</v>
      </c>
      <c r="I16" s="52"/>
    </row>
    <row r="17" spans="1:11" ht="21.75" customHeight="1" thickBot="1" x14ac:dyDescent="0.3">
      <c r="A17" s="435"/>
      <c r="C17" s="4">
        <v>2021</v>
      </c>
      <c r="G17" s="64">
        <f>+G14</f>
        <v>43.462438263582008</v>
      </c>
      <c r="H17">
        <v>44.4</v>
      </c>
      <c r="I17" s="52"/>
      <c r="K17" s="66" t="s">
        <v>170</v>
      </c>
    </row>
    <row r="18" spans="1:11" ht="12" customHeight="1" x14ac:dyDescent="0.25">
      <c r="C18" t="s">
        <v>214</v>
      </c>
      <c r="D18" s="128">
        <v>836000</v>
      </c>
      <c r="E18" s="128">
        <v>1925500</v>
      </c>
      <c r="F18" s="50">
        <f t="shared" ref="F18:F21" si="7">(D18/E18)*100</f>
        <v>43.417294209296287</v>
      </c>
      <c r="G18" s="52">
        <f>F18</f>
        <v>43.417294209296287</v>
      </c>
      <c r="H18" s="31">
        <f>+((G18-$G$17)/($H$17-$G$17))*100</f>
        <v>-4.8150487090265486</v>
      </c>
      <c r="I18" s="52">
        <f>IF(H18&lt;50,0,IF(H18&gt;100,100,IF(H18&gt;50,H18,)))</f>
        <v>0</v>
      </c>
    </row>
    <row r="19" spans="1:11" ht="18.75" customHeight="1" x14ac:dyDescent="0.25">
      <c r="C19" t="s">
        <v>215</v>
      </c>
      <c r="D19" s="123">
        <f t="shared" ref="D19" si="8">+D18+6000</f>
        <v>842000</v>
      </c>
      <c r="E19" s="123">
        <f t="shared" ref="E19:E21" si="9">+E18+2000</f>
        <v>1927500</v>
      </c>
      <c r="F19" s="36">
        <f t="shared" si="7"/>
        <v>43.683527885862517</v>
      </c>
      <c r="G19" s="52">
        <f>F19</f>
        <v>43.683527885862517</v>
      </c>
      <c r="H19" s="31">
        <f t="shared" ref="H19:H21" si="10">+((G19-$G$17)/($H$17-$G$17))*100</f>
        <v>23.581340160616506</v>
      </c>
      <c r="I19" s="52">
        <f>IF(H19&lt;50,0,IF(H19&gt;100,100,IF(H19&gt;50,H19,)))</f>
        <v>0</v>
      </c>
    </row>
    <row r="20" spans="1:11" ht="12" customHeight="1" x14ac:dyDescent="0.25">
      <c r="C20" t="s">
        <v>216</v>
      </c>
      <c r="D20" s="123">
        <f>+D19+8000</f>
        <v>850000</v>
      </c>
      <c r="E20" s="123">
        <f t="shared" si="9"/>
        <v>1929500</v>
      </c>
      <c r="F20" s="36">
        <f t="shared" si="7"/>
        <v>44.052863436123346</v>
      </c>
      <c r="G20" s="52">
        <f>F20</f>
        <v>44.052863436123346</v>
      </c>
      <c r="H20" s="31">
        <f t="shared" si="10"/>
        <v>62.97453806051125</v>
      </c>
      <c r="I20" s="52">
        <f>IF(H20&lt;50,0,IF(H20&gt;100,100,IF(H20&gt;50,H20,)))</f>
        <v>62.97453806051125</v>
      </c>
    </row>
    <row r="21" spans="1:11" ht="12" customHeight="1" x14ac:dyDescent="0.25">
      <c r="C21" t="s">
        <v>217</v>
      </c>
      <c r="D21" s="123">
        <f>+D20+8000</f>
        <v>858000</v>
      </c>
      <c r="E21" s="123">
        <f t="shared" si="9"/>
        <v>1931500</v>
      </c>
      <c r="F21" s="36">
        <f t="shared" si="7"/>
        <v>44.421434118560704</v>
      </c>
      <c r="G21" s="52">
        <f>F21</f>
        <v>44.421434118560704</v>
      </c>
      <c r="H21" s="31">
        <f t="shared" si="10"/>
        <v>102.28615543149144</v>
      </c>
      <c r="I21" s="52">
        <f>IF(H21&lt;50,0,IF(H21&gt;100,100,IF(H21&gt;50,H21,)))</f>
        <v>100</v>
      </c>
    </row>
    <row r="22" spans="1:11" ht="12" customHeight="1" x14ac:dyDescent="0.25">
      <c r="G22" s="63">
        <v>2021</v>
      </c>
      <c r="H22" s="47">
        <v>2022</v>
      </c>
      <c r="I22" s="52"/>
    </row>
    <row r="23" spans="1:11" ht="12.6" customHeight="1" x14ac:dyDescent="0.25">
      <c r="C23" s="4">
        <v>2022</v>
      </c>
      <c r="G23" s="64">
        <f>+G21</f>
        <v>44.421434118560704</v>
      </c>
      <c r="H23">
        <v>45.3</v>
      </c>
      <c r="I23" s="52"/>
      <c r="K23" s="66" t="s">
        <v>170</v>
      </c>
    </row>
    <row r="24" spans="1:11" ht="11.25" customHeight="1" x14ac:dyDescent="0.25">
      <c r="C24" t="s">
        <v>214</v>
      </c>
      <c r="D24" s="128">
        <v>856000</v>
      </c>
      <c r="E24" s="128">
        <v>1933500</v>
      </c>
      <c r="F24" s="50">
        <f t="shared" ref="F24:F27" si="11">(D24/E24)*100</f>
        <v>44.272045513317813</v>
      </c>
      <c r="G24" s="52">
        <f>F24</f>
        <v>44.272045513317813</v>
      </c>
      <c r="H24" s="31">
        <f>+((G24-$G$23)/($H$23-$G$23))*100</f>
        <v>-17.003688442596658</v>
      </c>
      <c r="I24" s="52">
        <f>IF(H24&lt;50,0,IF(H24&gt;100,100,IF(H24&gt;50,H24,)))</f>
        <v>0</v>
      </c>
    </row>
    <row r="25" spans="1:11" ht="11.25" customHeight="1" x14ac:dyDescent="0.25">
      <c r="C25" t="s">
        <v>215</v>
      </c>
      <c r="D25" s="123">
        <f t="shared" ref="D25:D27" si="12">+D24+6000</f>
        <v>862000</v>
      </c>
      <c r="E25" s="123">
        <f t="shared" ref="E25:E27" si="13">+E24+2000</f>
        <v>1935500</v>
      </c>
      <c r="F25" s="36">
        <f t="shared" si="11"/>
        <v>44.536295530870582</v>
      </c>
      <c r="G25" s="52">
        <f>F25</f>
        <v>44.536295530870582</v>
      </c>
      <c r="H25" s="31">
        <f t="shared" ref="H25:H27" si="14">+((G25-$G$23)/($H$23-$G$23))*100</f>
        <v>13.07373923076875</v>
      </c>
      <c r="I25" s="52">
        <f>IF(H25&lt;50,0,IF(H25&gt;100,100,IF(H25&gt;50,H25,)))</f>
        <v>0</v>
      </c>
    </row>
    <row r="26" spans="1:11" ht="11.25" customHeight="1" x14ac:dyDescent="0.25">
      <c r="C26" t="s">
        <v>216</v>
      </c>
      <c r="D26" s="123">
        <f t="shared" si="12"/>
        <v>868000</v>
      </c>
      <c r="E26" s="123">
        <f t="shared" si="13"/>
        <v>1937500</v>
      </c>
      <c r="F26" s="36">
        <f t="shared" si="11"/>
        <v>44.800000000000004</v>
      </c>
      <c r="G26" s="52">
        <f>F26</f>
        <v>44.800000000000004</v>
      </c>
      <c r="H26" s="31">
        <f t="shared" si="14"/>
        <v>43.08907156958135</v>
      </c>
      <c r="I26" s="52">
        <f>IF(H26&lt;50,0,IF(H26&gt;100,100,IF(H26&gt;50,H26,)))</f>
        <v>0</v>
      </c>
    </row>
    <row r="27" spans="1:11" ht="11.25" customHeight="1" x14ac:dyDescent="0.25">
      <c r="C27" t="s">
        <v>217</v>
      </c>
      <c r="D27" s="123">
        <f t="shared" si="12"/>
        <v>874000</v>
      </c>
      <c r="E27" s="123">
        <f t="shared" si="13"/>
        <v>1939500</v>
      </c>
      <c r="F27" s="36">
        <f t="shared" si="11"/>
        <v>45.063160608404232</v>
      </c>
      <c r="G27" s="52">
        <f>F27</f>
        <v>45.063160608404232</v>
      </c>
      <c r="H27" s="31">
        <f t="shared" si="14"/>
        <v>73.042500670778622</v>
      </c>
      <c r="I27" s="52">
        <f>IF(H27&lt;50,0,IF(H27&gt;100,100,IF(H27&gt;50,H27,)))</f>
        <v>73.042500670778622</v>
      </c>
    </row>
    <row r="28" spans="1:11" ht="11.25" customHeight="1" x14ac:dyDescent="0.25"/>
    <row r="29" spans="1:11" ht="15.75" customHeight="1" x14ac:dyDescent="0.25">
      <c r="B29" s="4" t="s">
        <v>26</v>
      </c>
    </row>
    <row r="30" spans="1:11" ht="15.75" customHeight="1" x14ac:dyDescent="0.25">
      <c r="B30" s="4"/>
    </row>
    <row r="31" spans="1:11" ht="18.75" customHeight="1" x14ac:dyDescent="0.25">
      <c r="B31" s="11" t="s">
        <v>106</v>
      </c>
    </row>
    <row r="32" spans="1:11" ht="24.75" customHeight="1" x14ac:dyDescent="0.25">
      <c r="B32" s="427" t="s">
        <v>28</v>
      </c>
      <c r="C32" s="427"/>
      <c r="D32" s="427"/>
      <c r="E32" s="427"/>
      <c r="F32" s="427"/>
      <c r="G32" s="427"/>
    </row>
  </sheetData>
  <mergeCells count="6">
    <mergeCell ref="J4:P8"/>
    <mergeCell ref="D2:F2"/>
    <mergeCell ref="B32:G32"/>
    <mergeCell ref="A10:A12"/>
    <mergeCell ref="A13:A14"/>
    <mergeCell ref="A16:A17"/>
  </mergeCells>
  <pageMargins left="0.7" right="0.7" top="0.75" bottom="0.75" header="0.3" footer="0.3"/>
  <pageSetup orientation="portrait" horizontalDpi="90" verticalDpi="9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4"/>
  <sheetViews>
    <sheetView topLeftCell="A4" zoomScale="91" zoomScaleNormal="70" workbookViewId="0">
      <selection activeCell="C17" sqref="C17"/>
    </sheetView>
  </sheetViews>
  <sheetFormatPr baseColWidth="10" defaultColWidth="8.85546875" defaultRowHeight="15" x14ac:dyDescent="0.25"/>
  <cols>
    <col min="1" max="2" width="27" customWidth="1"/>
    <col min="3" max="3" width="35.7109375" customWidth="1"/>
    <col min="4" max="4" width="28.28515625" customWidth="1"/>
    <col min="5" max="5" width="22.28515625" customWidth="1"/>
    <col min="7" max="7" width="9.140625" customWidth="1"/>
    <col min="8" max="8" width="26.28515625" customWidth="1"/>
  </cols>
  <sheetData>
    <row r="1" spans="1:9" x14ac:dyDescent="0.25">
      <c r="A1" t="s">
        <v>0</v>
      </c>
    </row>
    <row r="2" spans="1:9" ht="69.75" customHeight="1" x14ac:dyDescent="0.25">
      <c r="C2" s="28" t="s">
        <v>194</v>
      </c>
      <c r="D2" s="28"/>
    </row>
    <row r="3" spans="1:9" ht="30.75" thickBot="1" x14ac:dyDescent="0.3">
      <c r="A3" t="s">
        <v>33</v>
      </c>
      <c r="B3" t="s">
        <v>3</v>
      </c>
      <c r="C3" t="s">
        <v>32</v>
      </c>
      <c r="D3" s="3" t="s">
        <v>41</v>
      </c>
      <c r="E3" s="3" t="s">
        <v>11</v>
      </c>
      <c r="F3" s="2" t="s">
        <v>18</v>
      </c>
      <c r="G3" s="3" t="s">
        <v>25</v>
      </c>
    </row>
    <row r="4" spans="1:9" ht="62.45" customHeight="1" thickBot="1" x14ac:dyDescent="0.3">
      <c r="A4" s="17" t="s">
        <v>34</v>
      </c>
      <c r="B4" s="13" t="s">
        <v>35</v>
      </c>
      <c r="C4" s="12" t="s">
        <v>36</v>
      </c>
      <c r="D4" s="19" t="s">
        <v>45</v>
      </c>
      <c r="E4" s="23" t="s">
        <v>48</v>
      </c>
      <c r="F4" s="21">
        <v>100</v>
      </c>
      <c r="G4" s="22"/>
    </row>
    <row r="5" spans="1:9" ht="15" customHeight="1" x14ac:dyDescent="0.25">
      <c r="B5" s="8" t="s">
        <v>17</v>
      </c>
      <c r="C5" t="s">
        <v>37</v>
      </c>
      <c r="D5" t="s">
        <v>49</v>
      </c>
      <c r="E5" s="46">
        <v>25</v>
      </c>
      <c r="F5" s="10">
        <f>E5</f>
        <v>25</v>
      </c>
      <c r="G5">
        <f>IF(F5&lt;50,0,IF(F5&gt;=100,100,IF(F5&gt;=50,50,)))</f>
        <v>0</v>
      </c>
    </row>
    <row r="6" spans="1:9" x14ac:dyDescent="0.25">
      <c r="B6" s="8"/>
      <c r="C6" t="s">
        <v>38</v>
      </c>
      <c r="D6" t="s">
        <v>50</v>
      </c>
      <c r="E6" s="46">
        <v>50</v>
      </c>
      <c r="F6" s="10">
        <f>E6</f>
        <v>50</v>
      </c>
      <c r="G6">
        <f>IF(F6&lt;50,0,IF(F6&gt;=100,100,IF(F6&gt;=50,50,)))</f>
        <v>50</v>
      </c>
    </row>
    <row r="7" spans="1:9" ht="16.5" thickBot="1" x14ac:dyDescent="0.3">
      <c r="B7" s="12"/>
      <c r="C7" t="s">
        <v>40</v>
      </c>
      <c r="D7" t="s">
        <v>51</v>
      </c>
      <c r="E7" s="46">
        <v>75</v>
      </c>
      <c r="F7" s="10">
        <f>E7</f>
        <v>75</v>
      </c>
      <c r="G7">
        <f>IF(F7&lt;50,0,IF(F7&gt;=100,100,IF(F7&gt;=50,50,)))</f>
        <v>50</v>
      </c>
    </row>
    <row r="8" spans="1:9" ht="19.5" customHeight="1" x14ac:dyDescent="0.25">
      <c r="A8" s="436" t="s">
        <v>333</v>
      </c>
      <c r="B8" s="437"/>
      <c r="C8" t="s">
        <v>39</v>
      </c>
      <c r="D8" t="s">
        <v>52</v>
      </c>
      <c r="E8" s="46">
        <v>100</v>
      </c>
      <c r="F8" s="10">
        <f>E8</f>
        <v>100</v>
      </c>
      <c r="G8">
        <f>IF(F8&lt;50,0,IF(F8&gt;=100,100,IF(F8&gt;=50,50,)))</f>
        <v>100</v>
      </c>
    </row>
    <row r="9" spans="1:9" x14ac:dyDescent="0.25">
      <c r="A9" s="438"/>
      <c r="B9" s="439"/>
      <c r="C9" s="4"/>
    </row>
    <row r="10" spans="1:9" ht="41.45" customHeight="1" x14ac:dyDescent="0.25">
      <c r="A10" s="438"/>
      <c r="B10" s="439"/>
      <c r="C10" s="4">
        <v>2020</v>
      </c>
      <c r="D10" s="20" t="s">
        <v>46</v>
      </c>
      <c r="E10" s="24" t="s">
        <v>56</v>
      </c>
      <c r="F10" s="21">
        <v>100</v>
      </c>
      <c r="G10" s="22"/>
      <c r="I10" t="s">
        <v>234</v>
      </c>
    </row>
    <row r="11" spans="1:9" x14ac:dyDescent="0.25">
      <c r="A11" s="438"/>
      <c r="B11" s="439"/>
      <c r="C11" t="s">
        <v>37</v>
      </c>
      <c r="D11" t="s">
        <v>53</v>
      </c>
      <c r="E11" s="46">
        <v>25</v>
      </c>
      <c r="F11" s="10">
        <f>E11</f>
        <v>25</v>
      </c>
      <c r="G11">
        <f>IF(F11&lt;50,0,IF(F11&gt;=100,100,IF(F11&gt;=50,50,)))</f>
        <v>0</v>
      </c>
      <c r="I11" t="s">
        <v>231</v>
      </c>
    </row>
    <row r="12" spans="1:9" x14ac:dyDescent="0.25">
      <c r="A12" s="438"/>
      <c r="B12" s="439"/>
      <c r="C12" t="s">
        <v>38</v>
      </c>
      <c r="D12" t="s">
        <v>54</v>
      </c>
      <c r="E12" s="46">
        <v>50</v>
      </c>
      <c r="F12" s="10">
        <f>E12</f>
        <v>50</v>
      </c>
      <c r="G12">
        <f t="shared" ref="G12:G15" si="0">IF(F12&lt;50,0,IF(F12&gt;=100,100,IF(F12&gt;=50,50,)))</f>
        <v>50</v>
      </c>
      <c r="I12" t="s">
        <v>232</v>
      </c>
    </row>
    <row r="13" spans="1:9" x14ac:dyDescent="0.25">
      <c r="A13" s="438"/>
      <c r="B13" s="439"/>
      <c r="C13" t="s">
        <v>40</v>
      </c>
      <c r="D13" t="s">
        <v>230</v>
      </c>
      <c r="E13" s="46">
        <v>75</v>
      </c>
      <c r="F13" s="10">
        <f>E13</f>
        <v>75</v>
      </c>
      <c r="G13">
        <f t="shared" si="0"/>
        <v>50</v>
      </c>
      <c r="I13" t="s">
        <v>233</v>
      </c>
    </row>
    <row r="14" spans="1:9" ht="15.75" thickBot="1" x14ac:dyDescent="0.3">
      <c r="A14" s="438"/>
      <c r="B14" s="439"/>
      <c r="C14" t="s">
        <v>39</v>
      </c>
      <c r="D14" t="s">
        <v>55</v>
      </c>
      <c r="E14" s="46">
        <v>100</v>
      </c>
      <c r="F14" s="10">
        <f>E14</f>
        <v>100</v>
      </c>
      <c r="G14">
        <f t="shared" si="0"/>
        <v>100</v>
      </c>
    </row>
    <row r="15" spans="1:9" ht="60.75" thickBot="1" x14ac:dyDescent="0.3">
      <c r="A15" s="438"/>
      <c r="B15" s="439"/>
      <c r="C15" s="283"/>
      <c r="D15" s="279" t="s">
        <v>429</v>
      </c>
      <c r="E15" s="280">
        <v>100</v>
      </c>
      <c r="F15" s="281">
        <f>E15</f>
        <v>100</v>
      </c>
      <c r="G15" s="282">
        <f t="shared" si="0"/>
        <v>100</v>
      </c>
    </row>
    <row r="16" spans="1:9" ht="15.75" thickBot="1" x14ac:dyDescent="0.3">
      <c r="A16" s="440"/>
      <c r="B16" s="441"/>
      <c r="E16" s="278"/>
      <c r="F16" s="278"/>
    </row>
    <row r="18" spans="1:7" ht="48" x14ac:dyDescent="0.25">
      <c r="C18" s="4">
        <v>2021</v>
      </c>
      <c r="D18" s="20" t="s">
        <v>47</v>
      </c>
      <c r="E18" s="25" t="s">
        <v>58</v>
      </c>
      <c r="F18" s="21">
        <v>8</v>
      </c>
      <c r="G18" s="22"/>
    </row>
    <row r="19" spans="1:7" x14ac:dyDescent="0.25">
      <c r="C19" t="s">
        <v>37</v>
      </c>
      <c r="D19" t="s">
        <v>57</v>
      </c>
      <c r="E19" s="46">
        <v>2</v>
      </c>
      <c r="F19" s="10">
        <f>E19</f>
        <v>2</v>
      </c>
      <c r="G19">
        <f>E19*12.5</f>
        <v>25</v>
      </c>
    </row>
    <row r="20" spans="1:7" x14ac:dyDescent="0.25">
      <c r="C20" t="s">
        <v>38</v>
      </c>
      <c r="D20" t="s">
        <v>57</v>
      </c>
      <c r="E20" s="46">
        <v>4</v>
      </c>
      <c r="F20" s="10">
        <f>E20</f>
        <v>4</v>
      </c>
      <c r="G20">
        <f>E20*12.5</f>
        <v>50</v>
      </c>
    </row>
    <row r="21" spans="1:7" x14ac:dyDescent="0.25">
      <c r="C21" t="s">
        <v>40</v>
      </c>
      <c r="D21" t="s">
        <v>57</v>
      </c>
      <c r="E21" s="46">
        <v>6</v>
      </c>
      <c r="F21" s="10">
        <f>E21</f>
        <v>6</v>
      </c>
      <c r="G21">
        <f>E21*12.5</f>
        <v>75</v>
      </c>
    </row>
    <row r="22" spans="1:7" x14ac:dyDescent="0.25">
      <c r="C22" t="s">
        <v>39</v>
      </c>
      <c r="D22" t="s">
        <v>57</v>
      </c>
      <c r="E22" s="46">
        <v>8</v>
      </c>
      <c r="F22" s="10">
        <f>E22</f>
        <v>8</v>
      </c>
      <c r="G22">
        <f>E22*12.5</f>
        <v>100</v>
      </c>
    </row>
    <row r="24" spans="1:7" ht="48" x14ac:dyDescent="0.25">
      <c r="C24" s="4">
        <v>2022</v>
      </c>
      <c r="D24" s="20" t="s">
        <v>47</v>
      </c>
      <c r="E24" s="26" t="s">
        <v>58</v>
      </c>
      <c r="F24" s="21">
        <v>8</v>
      </c>
    </row>
    <row r="25" spans="1:7" x14ac:dyDescent="0.25">
      <c r="C25" t="s">
        <v>37</v>
      </c>
      <c r="D25" t="s">
        <v>57</v>
      </c>
      <c r="E25" s="46">
        <v>2</v>
      </c>
      <c r="F25" s="10">
        <f>E25</f>
        <v>2</v>
      </c>
      <c r="G25">
        <f>E25*12.5</f>
        <v>25</v>
      </c>
    </row>
    <row r="26" spans="1:7" x14ac:dyDescent="0.25">
      <c r="C26" t="s">
        <v>38</v>
      </c>
      <c r="D26" t="s">
        <v>57</v>
      </c>
      <c r="E26" s="46">
        <v>4</v>
      </c>
      <c r="F26" s="10">
        <f t="shared" ref="F26:F28" si="1">E26</f>
        <v>4</v>
      </c>
      <c r="G26">
        <f t="shared" ref="G26:G28" si="2">E26*12.5</f>
        <v>50</v>
      </c>
    </row>
    <row r="27" spans="1:7" x14ac:dyDescent="0.25">
      <c r="C27" t="s">
        <v>40</v>
      </c>
      <c r="D27" t="s">
        <v>57</v>
      </c>
      <c r="E27" s="46">
        <v>6</v>
      </c>
      <c r="F27" s="10">
        <f t="shared" si="1"/>
        <v>6</v>
      </c>
      <c r="G27">
        <f t="shared" si="2"/>
        <v>75</v>
      </c>
    </row>
    <row r="28" spans="1:7" x14ac:dyDescent="0.25">
      <c r="C28" t="s">
        <v>39</v>
      </c>
      <c r="D28" t="s">
        <v>57</v>
      </c>
      <c r="E28" s="46">
        <v>8</v>
      </c>
      <c r="F28" s="10">
        <f t="shared" si="1"/>
        <v>8</v>
      </c>
      <c r="G28">
        <f t="shared" si="2"/>
        <v>100</v>
      </c>
    </row>
    <row r="30" spans="1:7" ht="20.45" customHeight="1" x14ac:dyDescent="0.25">
      <c r="A30" s="16"/>
      <c r="B30" s="14"/>
      <c r="D30" s="27" t="s">
        <v>61</v>
      </c>
    </row>
    <row r="31" spans="1:7" ht="11.25" customHeight="1" x14ac:dyDescent="0.25">
      <c r="B31" s="15"/>
    </row>
    <row r="32" spans="1:7" ht="15.75" customHeight="1" x14ac:dyDescent="0.25"/>
    <row r="33" spans="2:5" ht="18.75" customHeight="1" x14ac:dyDescent="0.25">
      <c r="B33" s="11"/>
    </row>
    <row r="34" spans="2:5" ht="24.75" customHeight="1" x14ac:dyDescent="0.25">
      <c r="B34" s="427" t="s">
        <v>213</v>
      </c>
      <c r="C34" s="427"/>
      <c r="D34" s="427"/>
      <c r="E34" s="427"/>
    </row>
  </sheetData>
  <mergeCells count="2">
    <mergeCell ref="B34:E34"/>
    <mergeCell ref="A8:B16"/>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4"/>
  <sheetViews>
    <sheetView topLeftCell="B5" zoomScale="124" workbookViewId="0">
      <selection activeCell="F74" sqref="F74"/>
    </sheetView>
  </sheetViews>
  <sheetFormatPr baseColWidth="10" defaultColWidth="8.85546875" defaultRowHeight="15" x14ac:dyDescent="0.25"/>
  <cols>
    <col min="1" max="1" width="11.85546875" customWidth="1"/>
    <col min="2" max="2" width="10" customWidth="1"/>
    <col min="3" max="3" width="24.85546875" customWidth="1"/>
    <col min="4" max="4" width="4.28515625" customWidth="1"/>
    <col min="5" max="5" width="4" customWidth="1"/>
    <col min="6" max="8" width="11" customWidth="1"/>
    <col min="9" max="9" width="14.28515625" style="123" customWidth="1"/>
    <col min="11" max="11" width="21.140625" customWidth="1"/>
    <col min="12" max="12" width="11.85546875" bestFit="1" customWidth="1"/>
    <col min="14" max="14" width="33.42578125" customWidth="1"/>
    <col min="15" max="15" width="36.140625" customWidth="1"/>
    <col min="16" max="16" width="30" customWidth="1"/>
  </cols>
  <sheetData>
    <row r="1" spans="1:15" x14ac:dyDescent="0.25">
      <c r="A1" t="s">
        <v>0</v>
      </c>
    </row>
    <row r="2" spans="1:15" x14ac:dyDescent="0.25">
      <c r="D2" s="432" t="s">
        <v>10</v>
      </c>
      <c r="E2" s="432"/>
      <c r="F2" s="432"/>
      <c r="G2" s="432"/>
      <c r="H2" s="432"/>
    </row>
    <row r="3" spans="1:15" ht="60" x14ac:dyDescent="0.25">
      <c r="A3" t="s">
        <v>60</v>
      </c>
      <c r="B3" t="s">
        <v>3</v>
      </c>
      <c r="C3" t="s">
        <v>32</v>
      </c>
      <c r="D3" s="3"/>
      <c r="E3" s="3"/>
      <c r="F3" s="3"/>
      <c r="G3" s="3" t="s">
        <v>8</v>
      </c>
      <c r="H3" s="3"/>
      <c r="I3" s="124"/>
      <c r="J3" s="2" t="s">
        <v>18</v>
      </c>
      <c r="K3" s="3" t="s">
        <v>25</v>
      </c>
      <c r="O3" s="2" t="s">
        <v>227</v>
      </c>
    </row>
    <row r="4" spans="1:15" ht="91.5" customHeight="1" x14ac:dyDescent="0.25">
      <c r="A4" s="28" t="s">
        <v>62</v>
      </c>
      <c r="B4" s="1" t="s">
        <v>2</v>
      </c>
      <c r="C4" t="s">
        <v>64</v>
      </c>
      <c r="D4" s="5"/>
      <c r="E4" s="6"/>
      <c r="F4" s="6"/>
      <c r="G4" s="5">
        <v>2018</v>
      </c>
      <c r="H4" s="6"/>
      <c r="I4" s="129" t="s">
        <v>69</v>
      </c>
      <c r="J4" s="21">
        <v>100</v>
      </c>
      <c r="N4" s="2" t="s">
        <v>228</v>
      </c>
      <c r="O4" s="2" t="s">
        <v>229</v>
      </c>
    </row>
    <row r="5" spans="1:15" x14ac:dyDescent="0.25">
      <c r="B5" s="8" t="s">
        <v>17</v>
      </c>
      <c r="C5" t="s">
        <v>37</v>
      </c>
      <c r="F5" t="s">
        <v>70</v>
      </c>
      <c r="I5" s="123">
        <v>0</v>
      </c>
      <c r="J5" s="30">
        <f>I5</f>
        <v>0</v>
      </c>
      <c r="K5">
        <f t="shared" ref="K5:K7" si="0">IF(J5=1,100,0)</f>
        <v>0</v>
      </c>
      <c r="N5" s="2" t="s">
        <v>222</v>
      </c>
    </row>
    <row r="6" spans="1:15" x14ac:dyDescent="0.25">
      <c r="B6" s="8"/>
      <c r="C6" t="s">
        <v>38</v>
      </c>
      <c r="F6" t="s">
        <v>71</v>
      </c>
      <c r="I6" s="123">
        <v>0</v>
      </c>
      <c r="J6" s="30">
        <f t="shared" ref="J6:J7" si="1">I6</f>
        <v>0</v>
      </c>
      <c r="K6">
        <f t="shared" si="0"/>
        <v>0</v>
      </c>
      <c r="M6">
        <v>0</v>
      </c>
      <c r="N6" s="2" t="s">
        <v>223</v>
      </c>
    </row>
    <row r="7" spans="1:15" ht="15.75" x14ac:dyDescent="0.25">
      <c r="A7" s="18" t="s">
        <v>65</v>
      </c>
      <c r="B7" s="8"/>
      <c r="C7" t="s">
        <v>40</v>
      </c>
      <c r="F7" t="s">
        <v>73</v>
      </c>
      <c r="I7" s="128">
        <v>0</v>
      </c>
      <c r="J7" s="30">
        <f t="shared" si="1"/>
        <v>0</v>
      </c>
      <c r="K7">
        <f t="shared" si="0"/>
        <v>0</v>
      </c>
      <c r="N7" s="2" t="s">
        <v>224</v>
      </c>
    </row>
    <row r="8" spans="1:15" ht="19.5" customHeight="1" x14ac:dyDescent="0.25">
      <c r="C8" t="s">
        <v>39</v>
      </c>
      <c r="F8" t="s">
        <v>72</v>
      </c>
      <c r="I8" s="128">
        <v>1</v>
      </c>
      <c r="J8" s="30">
        <f>I8</f>
        <v>1</v>
      </c>
      <c r="K8">
        <f>IF(J8=1,100,0)</f>
        <v>100</v>
      </c>
      <c r="M8">
        <v>0</v>
      </c>
      <c r="N8" s="2" t="s">
        <v>225</v>
      </c>
    </row>
    <row r="9" spans="1:15" ht="11.25" customHeight="1" x14ac:dyDescent="0.25">
      <c r="B9" s="9"/>
      <c r="C9" s="4"/>
      <c r="N9" s="2" t="s">
        <v>226</v>
      </c>
    </row>
    <row r="10" spans="1:15" ht="11.25" customHeight="1" x14ac:dyDescent="0.25">
      <c r="C10" s="4">
        <v>2020</v>
      </c>
      <c r="J10" s="7">
        <v>4000</v>
      </c>
    </row>
    <row r="11" spans="1:15" ht="11.25" customHeight="1" x14ac:dyDescent="0.25">
      <c r="C11" t="s">
        <v>13</v>
      </c>
      <c r="F11" s="218" t="s">
        <v>212</v>
      </c>
      <c r="G11" s="218"/>
      <c r="H11" s="218"/>
      <c r="I11" s="128">
        <v>1999</v>
      </c>
      <c r="J11" s="31">
        <f>(I11/J10)*100</f>
        <v>49.975000000000001</v>
      </c>
      <c r="K11">
        <f>IF(J11&lt;50,0,IF(J11&gt;=100,100,IF(J11&gt;=50,J11,)))</f>
        <v>0</v>
      </c>
    </row>
    <row r="12" spans="1:15" ht="11.25" customHeight="1" x14ac:dyDescent="0.25">
      <c r="C12" t="s">
        <v>14</v>
      </c>
      <c r="F12" s="218" t="s">
        <v>212</v>
      </c>
      <c r="G12" s="218"/>
      <c r="H12" s="218"/>
      <c r="I12" s="128">
        <v>2500</v>
      </c>
      <c r="J12" s="31">
        <f>(I12/J10)*100</f>
        <v>62.5</v>
      </c>
      <c r="K12">
        <f>IF(J12&lt;50,0,IF(J12&gt;=100,100,IF(J12&gt;=50,J12,)))</f>
        <v>62.5</v>
      </c>
    </row>
    <row r="13" spans="1:15" ht="11.25" customHeight="1" x14ac:dyDescent="0.25">
      <c r="C13" t="s">
        <v>15</v>
      </c>
      <c r="F13" s="218" t="s">
        <v>212</v>
      </c>
      <c r="G13" s="218"/>
      <c r="H13" s="218"/>
      <c r="I13" s="123">
        <v>2600</v>
      </c>
      <c r="J13" s="31">
        <f>(I13/J10)*100</f>
        <v>65</v>
      </c>
      <c r="K13">
        <f>IF(J13&lt;50,0,IF(J13&gt;=100,100,IF(J13&gt;=50,J13,)))</f>
        <v>65</v>
      </c>
    </row>
    <row r="14" spans="1:15" ht="11.25" customHeight="1" thickBot="1" x14ac:dyDescent="0.3">
      <c r="C14" t="s">
        <v>16</v>
      </c>
      <c r="F14" s="218" t="s">
        <v>212</v>
      </c>
      <c r="G14" s="218"/>
      <c r="H14" s="218"/>
      <c r="I14" s="123">
        <v>2800</v>
      </c>
      <c r="J14" s="31">
        <f>(I14/J10)*100</f>
        <v>70</v>
      </c>
      <c r="K14">
        <f>IF(J14&lt;50,0,IF(J14&gt;=100,100,IF(J14&gt;=50,J14,)))</f>
        <v>70</v>
      </c>
    </row>
    <row r="15" spans="1:15" ht="27" thickBot="1" x14ac:dyDescent="0.45">
      <c r="C15" s="4" t="s">
        <v>249</v>
      </c>
      <c r="I15" s="220">
        <f>F91</f>
        <v>4508</v>
      </c>
      <c r="J15" s="31">
        <f>(I15/J10)*100</f>
        <v>112.7</v>
      </c>
      <c r="K15" s="208">
        <f>IF(J15&lt;50,0,IF(J15&gt;100,100,IF(J15&gt;50,J15,)))</f>
        <v>100</v>
      </c>
    </row>
    <row r="16" spans="1:15" ht="15.75" customHeight="1" x14ac:dyDescent="0.25"/>
    <row r="17" spans="2:14" ht="15.6" customHeight="1" x14ac:dyDescent="0.25">
      <c r="C17" s="4">
        <v>2021</v>
      </c>
      <c r="J17" s="7">
        <v>6000</v>
      </c>
    </row>
    <row r="18" spans="2:14" ht="15.75" thickBot="1" x14ac:dyDescent="0.3">
      <c r="C18" t="s">
        <v>13</v>
      </c>
      <c r="F18" t="s">
        <v>212</v>
      </c>
      <c r="I18" s="128">
        <v>3000</v>
      </c>
      <c r="J18" s="31">
        <f>(I18/$J$17)*100</f>
        <v>50</v>
      </c>
      <c r="K18">
        <f>IF(J18&lt;50,0,IF(J18&gt;=100,100,IF(J18&gt;=50,J18,)))</f>
        <v>50</v>
      </c>
    </row>
    <row r="19" spans="2:14" x14ac:dyDescent="0.25">
      <c r="C19" t="s">
        <v>14</v>
      </c>
      <c r="F19" t="s">
        <v>212</v>
      </c>
      <c r="I19" s="123">
        <v>3500</v>
      </c>
      <c r="J19" s="31">
        <f>(I19/$J$17)*100</f>
        <v>58.333333333333336</v>
      </c>
      <c r="K19">
        <f t="shared" ref="K19:K21" si="2">IF(J19&lt;50,0,IF(J19&gt;=100,100,IF(J19&gt;=50,J19,)))</f>
        <v>58.333333333333336</v>
      </c>
      <c r="M19" s="417" t="s">
        <v>334</v>
      </c>
      <c r="N19" s="419"/>
    </row>
    <row r="20" spans="2:14" x14ac:dyDescent="0.25">
      <c r="C20" t="s">
        <v>15</v>
      </c>
      <c r="F20" t="s">
        <v>212</v>
      </c>
      <c r="I20" s="123">
        <v>3500</v>
      </c>
      <c r="J20" s="31">
        <f>(I20/$J$17)*100</f>
        <v>58.333333333333336</v>
      </c>
      <c r="K20">
        <f t="shared" si="2"/>
        <v>58.333333333333336</v>
      </c>
      <c r="M20" s="420"/>
      <c r="N20" s="422"/>
    </row>
    <row r="21" spans="2:14" x14ac:dyDescent="0.25">
      <c r="C21" t="s">
        <v>16</v>
      </c>
      <c r="F21" t="s">
        <v>212</v>
      </c>
      <c r="I21" s="123">
        <v>3500</v>
      </c>
      <c r="J21" s="31">
        <f>(I21/$J$17)*100</f>
        <v>58.333333333333336</v>
      </c>
      <c r="K21">
        <f t="shared" si="2"/>
        <v>58.333333333333336</v>
      </c>
      <c r="M21" s="420"/>
      <c r="N21" s="422"/>
    </row>
    <row r="22" spans="2:14" x14ac:dyDescent="0.25">
      <c r="M22" s="420"/>
      <c r="N22" s="422"/>
    </row>
    <row r="23" spans="2:14" x14ac:dyDescent="0.25">
      <c r="C23" s="4">
        <v>2022</v>
      </c>
      <c r="J23" s="7">
        <v>8000</v>
      </c>
      <c r="M23" s="420"/>
      <c r="N23" s="422"/>
    </row>
    <row r="24" spans="2:14" x14ac:dyDescent="0.25">
      <c r="C24" t="s">
        <v>13</v>
      </c>
      <c r="F24" t="s">
        <v>212</v>
      </c>
      <c r="I24" s="128">
        <v>4000</v>
      </c>
      <c r="J24" s="31">
        <f>(I24/$J$23)*100</f>
        <v>50</v>
      </c>
      <c r="K24">
        <f>IF(J24&lt;50,0,IF(J24&gt;=100,100,IF(J24&gt;=50,J24,)))</f>
        <v>50</v>
      </c>
      <c r="M24" s="420"/>
      <c r="N24" s="422"/>
    </row>
    <row r="25" spans="2:14" x14ac:dyDescent="0.25">
      <c r="C25" t="s">
        <v>14</v>
      </c>
      <c r="F25" t="s">
        <v>212</v>
      </c>
      <c r="I25" s="128">
        <v>4500</v>
      </c>
      <c r="J25" s="31">
        <f>(I25/$J$23)*100</f>
        <v>56.25</v>
      </c>
      <c r="K25">
        <f t="shared" ref="K25:K27" si="3">IF(J25&lt;50,0,IF(J25&gt;=100,100,IF(J25&gt;=50,J25,)))</f>
        <v>56.25</v>
      </c>
      <c r="M25" s="420"/>
      <c r="N25" s="422"/>
    </row>
    <row r="26" spans="2:14" x14ac:dyDescent="0.25">
      <c r="C26" t="s">
        <v>15</v>
      </c>
      <c r="F26" t="s">
        <v>212</v>
      </c>
      <c r="I26" s="123">
        <v>5000</v>
      </c>
      <c r="J26" s="31">
        <f>(I26/$J$23)*100</f>
        <v>62.5</v>
      </c>
      <c r="K26">
        <f t="shared" si="3"/>
        <v>62.5</v>
      </c>
      <c r="M26" s="420"/>
      <c r="N26" s="422"/>
    </row>
    <row r="27" spans="2:14" x14ac:dyDescent="0.25">
      <c r="C27" t="s">
        <v>16</v>
      </c>
      <c r="F27" t="s">
        <v>212</v>
      </c>
      <c r="I27" s="123">
        <v>5500</v>
      </c>
      <c r="J27" s="31">
        <f>(I27/$J$23)*100</f>
        <v>68.75</v>
      </c>
      <c r="K27">
        <f t="shared" si="3"/>
        <v>68.75</v>
      </c>
      <c r="M27" s="420"/>
      <c r="N27" s="422"/>
    </row>
    <row r="28" spans="2:14" x14ac:dyDescent="0.25">
      <c r="M28" s="420"/>
      <c r="N28" s="422"/>
    </row>
    <row r="29" spans="2:14" x14ac:dyDescent="0.25">
      <c r="M29" s="420"/>
      <c r="N29" s="422"/>
    </row>
    <row r="30" spans="2:14" x14ac:dyDescent="0.25">
      <c r="B30" s="14" t="s">
        <v>20</v>
      </c>
      <c r="C30" s="4" t="s">
        <v>26</v>
      </c>
      <c r="M30" s="420"/>
      <c r="N30" s="422"/>
    </row>
    <row r="31" spans="2:14" x14ac:dyDescent="0.25">
      <c r="B31" s="14"/>
      <c r="C31" s="4"/>
      <c r="M31" s="420"/>
      <c r="N31" s="422"/>
    </row>
    <row r="32" spans="2:14" x14ac:dyDescent="0.25">
      <c r="B32" s="14" t="s">
        <v>66</v>
      </c>
      <c r="C32" s="4"/>
      <c r="M32" s="420"/>
      <c r="N32" s="422"/>
    </row>
    <row r="33" spans="2:14" x14ac:dyDescent="0.25">
      <c r="B33" s="14" t="s">
        <v>67</v>
      </c>
      <c r="M33" s="420"/>
      <c r="N33" s="422"/>
    </row>
    <row r="34" spans="2:14" ht="15.75" thickBot="1" x14ac:dyDescent="0.3">
      <c r="B34" s="15" t="s">
        <v>68</v>
      </c>
      <c r="M34" s="423"/>
      <c r="N34" s="425"/>
    </row>
    <row r="36" spans="2:14" x14ac:dyDescent="0.25">
      <c r="B36" s="11" t="s">
        <v>63</v>
      </c>
    </row>
    <row r="37" spans="2:14" x14ac:dyDescent="0.25">
      <c r="B37" s="427" t="s">
        <v>28</v>
      </c>
      <c r="C37" s="427"/>
      <c r="D37" s="427"/>
      <c r="E37" s="427"/>
      <c r="F37" s="427"/>
      <c r="G37" s="427"/>
      <c r="H37" s="427"/>
      <c r="I37" s="427"/>
    </row>
    <row r="38" spans="2:14" x14ac:dyDescent="0.25">
      <c r="B38" s="191"/>
      <c r="C38" s="191"/>
      <c r="D38" s="191"/>
      <c r="E38" s="191"/>
      <c r="F38" s="191"/>
      <c r="G38" s="191"/>
      <c r="H38" s="191"/>
      <c r="I38" s="191"/>
    </row>
    <row r="39" spans="2:14" x14ac:dyDescent="0.25">
      <c r="B39" s="191"/>
      <c r="C39" s="191"/>
      <c r="D39" s="191"/>
      <c r="E39" s="191"/>
      <c r="F39" s="191"/>
      <c r="G39" s="191"/>
      <c r="H39" s="191"/>
      <c r="I39" s="191"/>
    </row>
    <row r="40" spans="2:14" x14ac:dyDescent="0.25">
      <c r="B40" s="191"/>
      <c r="C40" s="191"/>
      <c r="D40" s="191"/>
      <c r="E40" s="191"/>
      <c r="F40" s="191"/>
      <c r="G40" s="191"/>
      <c r="H40" s="191"/>
      <c r="I40" s="191"/>
    </row>
    <row r="41" spans="2:14" x14ac:dyDescent="0.25">
      <c r="B41" s="191"/>
      <c r="C41" s="191"/>
      <c r="D41" s="191"/>
      <c r="E41" s="191"/>
      <c r="F41" s="191"/>
      <c r="G41" s="191"/>
      <c r="H41" s="191"/>
      <c r="I41" s="191"/>
    </row>
    <row r="42" spans="2:14" ht="20.25" x14ac:dyDescent="0.25">
      <c r="B42" s="221" t="s">
        <v>288</v>
      </c>
      <c r="C42" s="191"/>
      <c r="D42" s="191"/>
      <c r="E42" s="191"/>
      <c r="F42" s="191"/>
      <c r="G42" s="191"/>
      <c r="H42" s="191"/>
      <c r="I42" s="191"/>
    </row>
    <row r="43" spans="2:14" x14ac:dyDescent="0.25">
      <c r="B43" s="191"/>
      <c r="C43" s="191"/>
      <c r="D43" s="191"/>
      <c r="E43" s="191"/>
      <c r="F43" s="191"/>
      <c r="G43" s="191"/>
      <c r="H43" s="191"/>
      <c r="I43" s="191"/>
    </row>
    <row r="44" spans="2:14" x14ac:dyDescent="0.25">
      <c r="B44" s="191"/>
      <c r="C44" s="191"/>
      <c r="D44" s="191"/>
      <c r="E44" s="191"/>
      <c r="F44" s="191"/>
      <c r="G44" s="191"/>
      <c r="H44" s="191"/>
      <c r="I44" s="191"/>
    </row>
    <row r="45" spans="2:14" x14ac:dyDescent="0.25">
      <c r="B45" s="11" t="s">
        <v>274</v>
      </c>
      <c r="C45" s="11"/>
      <c r="D45" s="11"/>
      <c r="E45" s="11"/>
      <c r="F45" s="11"/>
      <c r="G45" s="11"/>
      <c r="H45" s="11"/>
      <c r="I45" s="11"/>
    </row>
    <row r="46" spans="2:14" x14ac:dyDescent="0.25">
      <c r="B46" s="11"/>
      <c r="C46" s="11" t="s">
        <v>275</v>
      </c>
      <c r="D46" s="11"/>
      <c r="E46" s="11"/>
      <c r="F46" s="11"/>
      <c r="G46" s="11"/>
      <c r="H46" s="11"/>
      <c r="I46" s="11"/>
    </row>
    <row r="47" spans="2:14" x14ac:dyDescent="0.25">
      <c r="B47" s="11"/>
      <c r="C47" s="11" t="s">
        <v>276</v>
      </c>
      <c r="D47" s="212"/>
      <c r="E47" s="448" t="s">
        <v>277</v>
      </c>
      <c r="F47" s="448"/>
      <c r="G47" s="448"/>
      <c r="H47" s="448"/>
      <c r="I47" s="11"/>
    </row>
    <row r="48" spans="2:14" x14ac:dyDescent="0.25">
      <c r="B48" s="11"/>
      <c r="C48" s="11"/>
      <c r="D48" s="11"/>
      <c r="E48" s="448" t="s">
        <v>278</v>
      </c>
      <c r="F48" s="448"/>
      <c r="G48" s="448"/>
      <c r="H48" s="448"/>
      <c r="I48" s="11"/>
    </row>
    <row r="49" spans="1:9" x14ac:dyDescent="0.25">
      <c r="B49" s="11"/>
      <c r="C49" s="11"/>
      <c r="D49" s="11"/>
      <c r="E49" s="448" t="s">
        <v>279</v>
      </c>
      <c r="F49" s="448"/>
      <c r="G49" s="448"/>
      <c r="H49" s="448"/>
      <c r="I49" s="11"/>
    </row>
    <row r="50" spans="1:9" x14ac:dyDescent="0.25">
      <c r="B50" s="11"/>
      <c r="C50" s="11"/>
      <c r="D50" s="11"/>
      <c r="E50" s="449" t="s">
        <v>280</v>
      </c>
      <c r="F50" s="449"/>
      <c r="G50" s="449"/>
      <c r="H50" s="449"/>
      <c r="I50" s="11" t="s">
        <v>287</v>
      </c>
    </row>
    <row r="51" spans="1:9" x14ac:dyDescent="0.25">
      <c r="B51" s="11"/>
      <c r="C51" s="11"/>
      <c r="D51" s="11"/>
      <c r="E51" s="448" t="s">
        <v>281</v>
      </c>
      <c r="F51" s="448"/>
      <c r="G51" s="448"/>
      <c r="H51" s="448"/>
      <c r="I51" s="11"/>
    </row>
    <row r="52" spans="1:9" x14ac:dyDescent="0.25">
      <c r="B52" s="11"/>
      <c r="C52" s="11" t="s">
        <v>282</v>
      </c>
      <c r="D52" s="11"/>
      <c r="E52" s="11"/>
      <c r="F52" s="11"/>
      <c r="G52" s="11"/>
      <c r="H52" s="11"/>
      <c r="I52" s="11"/>
    </row>
    <row r="53" spans="1:9" x14ac:dyDescent="0.25">
      <c r="B53" s="11"/>
      <c r="C53" s="11" t="s">
        <v>283</v>
      </c>
      <c r="D53" s="11"/>
      <c r="E53" s="11"/>
      <c r="F53" s="11"/>
      <c r="G53" s="11"/>
      <c r="H53" s="11"/>
      <c r="I53" s="11"/>
    </row>
    <row r="54" spans="1:9" x14ac:dyDescent="0.25">
      <c r="B54" s="11"/>
      <c r="C54" s="11" t="s">
        <v>284</v>
      </c>
      <c r="D54" s="11"/>
      <c r="E54" s="11"/>
      <c r="F54" s="11"/>
      <c r="G54" s="11"/>
      <c r="H54" s="11"/>
      <c r="I54" s="11"/>
    </row>
    <row r="55" spans="1:9" x14ac:dyDescent="0.25">
      <c r="B55" s="11"/>
      <c r="C55" s="11" t="s">
        <v>285</v>
      </c>
      <c r="D55" s="11"/>
      <c r="E55" s="11"/>
      <c r="F55" s="11"/>
      <c r="G55" s="11"/>
      <c r="H55" s="11"/>
      <c r="I55" s="11"/>
    </row>
    <row r="56" spans="1:9" x14ac:dyDescent="0.25">
      <c r="B56" s="212"/>
      <c r="C56" s="212" t="s">
        <v>283</v>
      </c>
      <c r="D56" s="212"/>
      <c r="E56" s="212"/>
      <c r="F56" s="212"/>
      <c r="G56" s="212"/>
      <c r="H56" s="212"/>
      <c r="I56" s="219"/>
    </row>
    <row r="57" spans="1:9" x14ac:dyDescent="0.25">
      <c r="B57" s="212"/>
      <c r="C57" s="212" t="s">
        <v>286</v>
      </c>
      <c r="D57" s="212"/>
      <c r="E57" s="212"/>
      <c r="F57" s="212"/>
      <c r="G57" s="212"/>
      <c r="H57" s="212"/>
      <c r="I57" s="219"/>
    </row>
    <row r="58" spans="1:9" x14ac:dyDescent="0.25">
      <c r="B58" s="212"/>
      <c r="C58" s="212"/>
      <c r="D58" s="212"/>
      <c r="E58" s="212"/>
      <c r="F58" s="212"/>
      <c r="G58" s="212"/>
      <c r="H58" s="212"/>
      <c r="I58" s="219"/>
    </row>
    <row r="59" spans="1:9" x14ac:dyDescent="0.25">
      <c r="B59" s="212"/>
      <c r="C59" s="212"/>
      <c r="D59" s="212"/>
      <c r="E59" s="212"/>
      <c r="F59" s="212"/>
      <c r="G59" s="212"/>
      <c r="H59" s="212"/>
      <c r="I59" s="219"/>
    </row>
    <row r="60" spans="1:9" x14ac:dyDescent="0.25">
      <c r="B60" s="212"/>
      <c r="C60" s="212"/>
      <c r="D60" s="212"/>
      <c r="E60" s="212"/>
      <c r="F60" s="212"/>
      <c r="G60" s="212"/>
      <c r="H60" s="212"/>
      <c r="I60" s="219"/>
    </row>
    <row r="61" spans="1:9" x14ac:dyDescent="0.25">
      <c r="B61" s="212"/>
      <c r="C61" s="212"/>
      <c r="D61" s="212"/>
      <c r="E61" s="212"/>
      <c r="F61" s="212"/>
      <c r="G61" s="212"/>
      <c r="H61" s="212"/>
      <c r="I61" s="219"/>
    </row>
    <row r="62" spans="1:9" x14ac:dyDescent="0.25">
      <c r="B62" s="212"/>
      <c r="C62" s="212"/>
      <c r="D62" s="212"/>
      <c r="E62" s="212"/>
      <c r="F62" s="212"/>
      <c r="G62" s="212"/>
      <c r="H62" s="212"/>
      <c r="I62" s="219"/>
    </row>
    <row r="63" spans="1:9" x14ac:dyDescent="0.25">
      <c r="B63" s="212"/>
      <c r="C63" s="212"/>
      <c r="D63" s="212"/>
      <c r="E63" s="212"/>
      <c r="F63" s="212"/>
      <c r="G63" s="212"/>
      <c r="H63" s="212"/>
      <c r="I63" s="219"/>
    </row>
    <row r="64" spans="1:9" ht="15.75" thickBot="1" x14ac:dyDescent="0.3">
      <c r="A64" t="s">
        <v>250</v>
      </c>
    </row>
    <row r="65" spans="2:12" x14ac:dyDescent="0.25">
      <c r="B65" s="214"/>
      <c r="C65" s="193"/>
      <c r="D65" s="193"/>
      <c r="E65" s="193"/>
      <c r="F65" s="193"/>
      <c r="G65" s="193"/>
      <c r="H65" s="193"/>
      <c r="I65" s="215"/>
      <c r="J65" s="193"/>
      <c r="K65" s="193"/>
      <c r="L65" s="194"/>
    </row>
    <row r="66" spans="2:12" x14ac:dyDescent="0.25">
      <c r="B66" s="156"/>
      <c r="C66" s="446" t="s">
        <v>251</v>
      </c>
      <c r="D66" s="446"/>
      <c r="E66" s="446"/>
      <c r="F66" s="446"/>
      <c r="G66" s="446"/>
      <c r="H66" s="446"/>
      <c r="I66" s="446"/>
      <c r="J66" s="446"/>
      <c r="K66" s="446"/>
      <c r="L66" s="148"/>
    </row>
    <row r="67" spans="2:12" x14ac:dyDescent="0.25">
      <c r="B67" s="156"/>
      <c r="C67" s="446" t="s">
        <v>252</v>
      </c>
      <c r="D67" s="446"/>
      <c r="E67" s="446"/>
      <c r="F67" s="446"/>
      <c r="G67" s="446"/>
      <c r="H67" s="446"/>
      <c r="I67" s="446"/>
      <c r="J67" s="446"/>
      <c r="K67" s="446"/>
      <c r="L67" s="148"/>
    </row>
    <row r="68" spans="2:12" x14ac:dyDescent="0.25">
      <c r="B68" s="156"/>
      <c r="C68" s="446" t="s">
        <v>253</v>
      </c>
      <c r="D68" s="446"/>
      <c r="E68" s="446"/>
      <c r="F68" s="446"/>
      <c r="G68" s="446"/>
      <c r="H68" s="446"/>
      <c r="I68" s="446"/>
      <c r="J68" s="446"/>
      <c r="K68" s="446"/>
      <c r="L68" s="148"/>
    </row>
    <row r="69" spans="2:12" x14ac:dyDescent="0.25">
      <c r="B69" s="156"/>
      <c r="C69" s="446">
        <v>2020</v>
      </c>
      <c r="D69" s="446"/>
      <c r="E69" s="446"/>
      <c r="F69" s="446"/>
      <c r="G69" s="446"/>
      <c r="H69" s="446"/>
      <c r="I69" s="446"/>
      <c r="J69" s="446"/>
      <c r="K69" s="446"/>
      <c r="L69" s="148"/>
    </row>
    <row r="70" spans="2:12" x14ac:dyDescent="0.25">
      <c r="B70" s="156"/>
      <c r="C70" s="120"/>
      <c r="D70" s="120"/>
      <c r="E70" s="120"/>
      <c r="F70" s="120"/>
      <c r="G70" s="120"/>
      <c r="H70" s="120"/>
      <c r="I70" s="216"/>
      <c r="J70" s="120"/>
      <c r="K70" s="120"/>
      <c r="L70" s="148"/>
    </row>
    <row r="71" spans="2:12" x14ac:dyDescent="0.25">
      <c r="B71" s="156"/>
      <c r="C71" s="120"/>
      <c r="D71" s="120"/>
      <c r="E71" s="120"/>
      <c r="F71" s="120"/>
      <c r="G71" s="120"/>
      <c r="H71" s="120"/>
      <c r="I71" s="216"/>
      <c r="J71" s="120"/>
      <c r="K71" s="120"/>
      <c r="L71" s="148"/>
    </row>
    <row r="72" spans="2:12" x14ac:dyDescent="0.25">
      <c r="B72" s="156"/>
      <c r="C72" s="120"/>
      <c r="D72" s="120"/>
      <c r="E72" s="120"/>
      <c r="F72" s="120"/>
      <c r="G72" s="195" t="s">
        <v>254</v>
      </c>
      <c r="H72" s="120"/>
      <c r="I72" s="216"/>
      <c r="J72" s="120"/>
      <c r="K72" s="120"/>
      <c r="L72" s="148"/>
    </row>
    <row r="73" spans="2:12" x14ac:dyDescent="0.25">
      <c r="B73" s="156"/>
      <c r="C73" s="120"/>
      <c r="D73" s="120"/>
      <c r="E73" s="120"/>
      <c r="F73" s="209" t="s">
        <v>255</v>
      </c>
      <c r="G73" s="209" t="s">
        <v>256</v>
      </c>
      <c r="H73" s="209" t="s">
        <v>257</v>
      </c>
      <c r="I73" s="447" t="s">
        <v>259</v>
      </c>
      <c r="J73" s="447"/>
      <c r="K73" s="447"/>
      <c r="L73" s="148"/>
    </row>
    <row r="74" spans="2:12" x14ac:dyDescent="0.25">
      <c r="B74" s="156"/>
      <c r="C74" s="195" t="s">
        <v>258</v>
      </c>
      <c r="D74" s="120"/>
      <c r="E74" s="120"/>
      <c r="F74" s="213">
        <f t="shared" ref="F74:F82" si="4">G74+H74</f>
        <v>237710</v>
      </c>
      <c r="G74" s="213">
        <f>SUM(G75:G82)</f>
        <v>90852</v>
      </c>
      <c r="H74" s="213">
        <f>SUM(H75:H82)</f>
        <v>146858</v>
      </c>
      <c r="I74" s="447"/>
      <c r="J74" s="447"/>
      <c r="K74" s="447"/>
      <c r="L74" s="148"/>
    </row>
    <row r="75" spans="2:12" x14ac:dyDescent="0.25">
      <c r="B75" s="156"/>
      <c r="C75" s="442" t="s">
        <v>260</v>
      </c>
      <c r="D75" s="442"/>
      <c r="E75" s="442"/>
      <c r="F75" s="239">
        <f t="shared" si="4"/>
        <v>2171</v>
      </c>
      <c r="G75" s="211">
        <v>1125</v>
      </c>
      <c r="H75" s="211">
        <v>1046</v>
      </c>
      <c r="I75" s="445" t="s">
        <v>261</v>
      </c>
      <c r="J75" s="445"/>
      <c r="K75" s="445"/>
      <c r="L75" s="148"/>
    </row>
    <row r="76" spans="2:12" x14ac:dyDescent="0.25">
      <c r="B76" s="156"/>
      <c r="C76" s="442" t="s">
        <v>262</v>
      </c>
      <c r="D76" s="442"/>
      <c r="E76" s="442"/>
      <c r="F76" s="239">
        <f t="shared" si="4"/>
        <v>170</v>
      </c>
      <c r="G76" s="211">
        <v>93</v>
      </c>
      <c r="H76" s="211">
        <v>77</v>
      </c>
      <c r="I76" s="445" t="s">
        <v>261</v>
      </c>
      <c r="J76" s="445"/>
      <c r="K76" s="445"/>
      <c r="L76" s="148"/>
    </row>
    <row r="77" spans="2:12" x14ac:dyDescent="0.25">
      <c r="B77" s="156"/>
      <c r="C77" s="442" t="s">
        <v>263</v>
      </c>
      <c r="D77" s="442"/>
      <c r="E77" s="442"/>
      <c r="F77" s="210">
        <f t="shared" si="4"/>
        <v>296</v>
      </c>
      <c r="G77" s="211">
        <v>86</v>
      </c>
      <c r="H77" s="211">
        <v>210</v>
      </c>
      <c r="I77" s="442" t="s">
        <v>261</v>
      </c>
      <c r="J77" s="442"/>
      <c r="K77" s="442"/>
      <c r="L77" s="148"/>
    </row>
    <row r="78" spans="2:12" x14ac:dyDescent="0.25">
      <c r="B78" s="156"/>
      <c r="C78" s="442" t="s">
        <v>263</v>
      </c>
      <c r="D78" s="442"/>
      <c r="E78" s="442"/>
      <c r="F78" s="210">
        <f t="shared" si="4"/>
        <v>16886</v>
      </c>
      <c r="G78" s="211">
        <v>6693</v>
      </c>
      <c r="H78" s="211">
        <v>10193</v>
      </c>
      <c r="I78" s="442" t="s">
        <v>264</v>
      </c>
      <c r="J78" s="442"/>
      <c r="K78" s="442"/>
      <c r="L78" s="148"/>
    </row>
    <row r="79" spans="2:12" x14ac:dyDescent="0.25">
      <c r="B79" s="156"/>
      <c r="C79" s="442" t="s">
        <v>265</v>
      </c>
      <c r="D79" s="442"/>
      <c r="E79" s="442"/>
      <c r="F79" s="210">
        <f t="shared" si="4"/>
        <v>10429</v>
      </c>
      <c r="G79" s="211">
        <v>4093</v>
      </c>
      <c r="H79" s="211">
        <v>6336</v>
      </c>
      <c r="I79" s="442" t="s">
        <v>264</v>
      </c>
      <c r="J79" s="442"/>
      <c r="K79" s="442"/>
      <c r="L79" s="148"/>
    </row>
    <row r="80" spans="2:12" x14ac:dyDescent="0.25">
      <c r="B80" s="156"/>
      <c r="C80" s="442" t="s">
        <v>266</v>
      </c>
      <c r="D80" s="442"/>
      <c r="E80" s="442"/>
      <c r="F80" s="210">
        <f t="shared" si="4"/>
        <v>168977</v>
      </c>
      <c r="G80" s="211">
        <v>59087</v>
      </c>
      <c r="H80" s="211">
        <v>109890</v>
      </c>
      <c r="I80" s="442" t="s">
        <v>264</v>
      </c>
      <c r="J80" s="442"/>
      <c r="K80" s="442"/>
      <c r="L80" s="148"/>
    </row>
    <row r="81" spans="1:12" x14ac:dyDescent="0.25">
      <c r="B81" s="156"/>
      <c r="C81" s="442" t="s">
        <v>267</v>
      </c>
      <c r="D81" s="442"/>
      <c r="E81" s="442"/>
      <c r="F81" s="239">
        <f t="shared" si="4"/>
        <v>2167</v>
      </c>
      <c r="G81" s="211">
        <v>700</v>
      </c>
      <c r="H81" s="211">
        <v>1467</v>
      </c>
      <c r="I81" s="445" t="s">
        <v>268</v>
      </c>
      <c r="J81" s="445"/>
      <c r="K81" s="445"/>
      <c r="L81" s="148"/>
    </row>
    <row r="82" spans="1:12" x14ac:dyDescent="0.25">
      <c r="B82" s="156"/>
      <c r="C82" s="442" t="s">
        <v>269</v>
      </c>
      <c r="D82" s="442"/>
      <c r="E82" s="442"/>
      <c r="F82" s="210">
        <f t="shared" si="4"/>
        <v>36614</v>
      </c>
      <c r="G82" s="211">
        <v>18975</v>
      </c>
      <c r="H82" s="211">
        <v>17639</v>
      </c>
      <c r="I82" s="442" t="s">
        <v>270</v>
      </c>
      <c r="J82" s="442"/>
      <c r="K82" s="442"/>
      <c r="L82" s="148"/>
    </row>
    <row r="83" spans="1:12" x14ac:dyDescent="0.25">
      <c r="B83" s="156"/>
      <c r="C83" s="120"/>
      <c r="D83" s="120"/>
      <c r="E83" s="120"/>
      <c r="F83" s="120"/>
      <c r="G83" s="120"/>
      <c r="H83" s="120"/>
      <c r="I83" s="216"/>
      <c r="J83" s="120"/>
      <c r="K83" s="120"/>
      <c r="L83" s="148"/>
    </row>
    <row r="84" spans="1:12" ht="15" customHeight="1" x14ac:dyDescent="0.25">
      <c r="B84" s="156"/>
      <c r="C84" s="444" t="s">
        <v>271</v>
      </c>
      <c r="D84" s="444"/>
      <c r="E84" s="444"/>
      <c r="F84" s="443">
        <v>2020</v>
      </c>
      <c r="G84" s="443"/>
      <c r="H84" s="443"/>
      <c r="I84" s="216"/>
      <c r="J84" s="120"/>
      <c r="K84" s="120"/>
      <c r="L84" s="148"/>
    </row>
    <row r="85" spans="1:12" x14ac:dyDescent="0.25">
      <c r="B85" s="156"/>
      <c r="C85" s="444"/>
      <c r="D85" s="444"/>
      <c r="E85" s="444"/>
      <c r="F85" s="209" t="s">
        <v>255</v>
      </c>
      <c r="G85" s="209" t="s">
        <v>256</v>
      </c>
      <c r="H85" s="209" t="s">
        <v>257</v>
      </c>
      <c r="I85" s="216"/>
      <c r="J85" s="120"/>
      <c r="K85" s="120"/>
      <c r="L85" s="148"/>
    </row>
    <row r="86" spans="1:12" x14ac:dyDescent="0.25">
      <c r="B86" s="156"/>
      <c r="C86" s="442" t="s">
        <v>258</v>
      </c>
      <c r="D86" s="442"/>
      <c r="E86" s="442"/>
      <c r="F86" s="210">
        <f>G86+H86</f>
        <v>237710</v>
      </c>
      <c r="G86" s="210">
        <f>G87+G88</f>
        <v>90852</v>
      </c>
      <c r="H86" s="210">
        <f>H87+H88</f>
        <v>146858</v>
      </c>
      <c r="I86" s="216"/>
      <c r="J86" s="120"/>
      <c r="K86" s="120"/>
      <c r="L86" s="148"/>
    </row>
    <row r="87" spans="1:12" x14ac:dyDescent="0.25">
      <c r="B87" s="156"/>
      <c r="C87" s="442" t="s">
        <v>272</v>
      </c>
      <c r="D87" s="442"/>
      <c r="E87" s="442"/>
      <c r="F87" s="210">
        <f>G87+H87</f>
        <v>80112</v>
      </c>
      <c r="G87" s="211">
        <v>27209</v>
      </c>
      <c r="H87" s="211">
        <v>52903</v>
      </c>
      <c r="I87" s="216"/>
      <c r="J87" s="120"/>
      <c r="K87" s="120"/>
      <c r="L87" s="148"/>
    </row>
    <row r="88" spans="1:12" x14ac:dyDescent="0.25">
      <c r="B88" s="156"/>
      <c r="C88" s="442" t="s">
        <v>273</v>
      </c>
      <c r="D88" s="442"/>
      <c r="E88" s="442"/>
      <c r="F88" s="210">
        <f>G88+H88</f>
        <v>157598</v>
      </c>
      <c r="G88" s="211">
        <v>63643</v>
      </c>
      <c r="H88" s="211">
        <v>93955</v>
      </c>
      <c r="I88" s="216"/>
      <c r="J88" s="120"/>
      <c r="K88" s="120"/>
      <c r="L88" s="148"/>
    </row>
    <row r="89" spans="1:12" ht="15.75" thickBot="1" x14ac:dyDescent="0.3">
      <c r="B89" s="196"/>
      <c r="C89" s="197"/>
      <c r="D89" s="197"/>
      <c r="E89" s="197"/>
      <c r="F89" s="197"/>
      <c r="G89" s="197"/>
      <c r="H89" s="197"/>
      <c r="I89" s="217"/>
      <c r="J89" s="197"/>
      <c r="K89" s="197"/>
      <c r="L89" s="155"/>
    </row>
    <row r="91" spans="1:12" x14ac:dyDescent="0.25">
      <c r="C91" s="46" t="s">
        <v>313</v>
      </c>
      <c r="F91" s="128">
        <f>F81+F76+F75</f>
        <v>4508</v>
      </c>
    </row>
    <row r="94" spans="1:12" x14ac:dyDescent="0.25">
      <c r="A94" s="123"/>
    </row>
    <row r="99" spans="1:1" x14ac:dyDescent="0.25">
      <c r="A99" s="123"/>
    </row>
    <row r="102" spans="1:1" x14ac:dyDescent="0.25">
      <c r="A102" s="123"/>
    </row>
    <row r="103" spans="1:1" x14ac:dyDescent="0.25">
      <c r="A103" s="123"/>
    </row>
    <row r="104" spans="1:1" x14ac:dyDescent="0.25">
      <c r="A104" s="123"/>
    </row>
  </sheetData>
  <mergeCells count="34">
    <mergeCell ref="M19:N34"/>
    <mergeCell ref="I80:K80"/>
    <mergeCell ref="I81:K81"/>
    <mergeCell ref="I82:K82"/>
    <mergeCell ref="C75:E75"/>
    <mergeCell ref="C76:E76"/>
    <mergeCell ref="C77:E77"/>
    <mergeCell ref="C78:E78"/>
    <mergeCell ref="C79:E79"/>
    <mergeCell ref="I78:K78"/>
    <mergeCell ref="I79:K79"/>
    <mergeCell ref="D2:H2"/>
    <mergeCell ref="B37:I37"/>
    <mergeCell ref="I75:K75"/>
    <mergeCell ref="I76:K76"/>
    <mergeCell ref="I77:K77"/>
    <mergeCell ref="C66:K66"/>
    <mergeCell ref="C67:K67"/>
    <mergeCell ref="C68:K68"/>
    <mergeCell ref="C69:K69"/>
    <mergeCell ref="I73:K74"/>
    <mergeCell ref="E47:H47"/>
    <mergeCell ref="E48:H48"/>
    <mergeCell ref="E49:H49"/>
    <mergeCell ref="E50:H50"/>
    <mergeCell ref="E51:H51"/>
    <mergeCell ref="C86:E86"/>
    <mergeCell ref="C87:E87"/>
    <mergeCell ref="C88:E88"/>
    <mergeCell ref="F84:H84"/>
    <mergeCell ref="C80:E80"/>
    <mergeCell ref="C81:E81"/>
    <mergeCell ref="C82:E82"/>
    <mergeCell ref="C84:E85"/>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36"/>
  <sheetViews>
    <sheetView workbookViewId="0">
      <selection activeCell="A11" sqref="A11:B19"/>
    </sheetView>
  </sheetViews>
  <sheetFormatPr baseColWidth="10" defaultColWidth="8.85546875" defaultRowHeight="15" x14ac:dyDescent="0.25"/>
  <cols>
    <col min="1" max="1" width="19.42578125" customWidth="1"/>
    <col min="2" max="2" width="22.85546875" customWidth="1"/>
    <col min="3" max="3" width="24.85546875" customWidth="1"/>
    <col min="4" max="4" width="25.28515625" customWidth="1"/>
    <col min="5" max="5" width="17.42578125" customWidth="1"/>
    <col min="6" max="6" width="15.42578125" customWidth="1"/>
    <col min="7" max="7" width="21.85546875" customWidth="1"/>
  </cols>
  <sheetData>
    <row r="2" spans="1:7" ht="78.75" x14ac:dyDescent="0.25">
      <c r="A2" t="s">
        <v>0</v>
      </c>
      <c r="D2" s="28" t="s">
        <v>221</v>
      </c>
      <c r="E2" s="2"/>
      <c r="F2" s="2"/>
      <c r="G2" s="2"/>
    </row>
    <row r="3" spans="1:7" x14ac:dyDescent="0.25">
      <c r="D3" s="432" t="s">
        <v>10</v>
      </c>
      <c r="E3" s="432"/>
      <c r="F3" s="432"/>
      <c r="G3" s="432"/>
    </row>
    <row r="4" spans="1:7" ht="30" x14ac:dyDescent="0.25">
      <c r="A4" t="s">
        <v>74</v>
      </c>
      <c r="B4" t="s">
        <v>3</v>
      </c>
      <c r="C4" t="s">
        <v>32</v>
      </c>
      <c r="D4" s="3">
        <v>2019</v>
      </c>
      <c r="E4" s="3" t="s">
        <v>218</v>
      </c>
      <c r="F4" s="3" t="s">
        <v>12</v>
      </c>
      <c r="G4" s="3" t="s">
        <v>25</v>
      </c>
    </row>
    <row r="5" spans="1:7" ht="94.5" x14ac:dyDescent="0.25">
      <c r="A5" s="28" t="s">
        <v>75</v>
      </c>
      <c r="B5" s="1" t="s">
        <v>76</v>
      </c>
      <c r="C5" s="12" t="s">
        <v>36</v>
      </c>
      <c r="D5" s="32" t="s">
        <v>83</v>
      </c>
      <c r="E5" s="118">
        <v>0</v>
      </c>
      <c r="F5" s="21">
        <v>100</v>
      </c>
      <c r="G5" s="21"/>
    </row>
    <row r="6" spans="1:7" x14ac:dyDescent="0.25">
      <c r="B6" s="8" t="s">
        <v>17</v>
      </c>
      <c r="C6" t="s">
        <v>37</v>
      </c>
      <c r="D6" s="34" t="s">
        <v>70</v>
      </c>
      <c r="E6">
        <v>0</v>
      </c>
      <c r="F6" s="10">
        <f>E6</f>
        <v>0</v>
      </c>
      <c r="G6">
        <f>IF(F6=1,100,0)</f>
        <v>0</v>
      </c>
    </row>
    <row r="7" spans="1:7" x14ac:dyDescent="0.25">
      <c r="B7" s="8"/>
      <c r="C7" t="s">
        <v>38</v>
      </c>
      <c r="D7" s="34" t="s">
        <v>84</v>
      </c>
      <c r="E7">
        <v>0</v>
      </c>
      <c r="F7" s="10">
        <f>E7</f>
        <v>0</v>
      </c>
      <c r="G7">
        <f>IF(F7=1,100,0)</f>
        <v>0</v>
      </c>
    </row>
    <row r="8" spans="1:7" x14ac:dyDescent="0.25">
      <c r="B8" s="8"/>
      <c r="C8" t="s">
        <v>40</v>
      </c>
      <c r="D8" s="34" t="s">
        <v>85</v>
      </c>
      <c r="E8">
        <v>0</v>
      </c>
      <c r="F8" s="10">
        <f>E8</f>
        <v>0</v>
      </c>
      <c r="G8">
        <f>IF(F8=1,100,0)</f>
        <v>0</v>
      </c>
    </row>
    <row r="9" spans="1:7" x14ac:dyDescent="0.25">
      <c r="C9" t="s">
        <v>39</v>
      </c>
      <c r="D9" s="119" t="s">
        <v>86</v>
      </c>
      <c r="E9">
        <v>1</v>
      </c>
      <c r="F9" s="10">
        <f>E9</f>
        <v>1</v>
      </c>
      <c r="G9">
        <f>IF(F9=1,100,0)</f>
        <v>100</v>
      </c>
    </row>
    <row r="10" spans="1:7" ht="14.1" customHeight="1" thickBot="1" x14ac:dyDescent="0.3">
      <c r="B10" s="9"/>
      <c r="C10" s="4"/>
      <c r="D10" s="120"/>
      <c r="G10" s="3"/>
    </row>
    <row r="11" spans="1:7" ht="36" customHeight="1" x14ac:dyDescent="0.25">
      <c r="A11" s="417" t="s">
        <v>335</v>
      </c>
      <c r="B11" s="419"/>
      <c r="C11" s="4">
        <v>2020</v>
      </c>
      <c r="D11" s="121" t="s">
        <v>77</v>
      </c>
      <c r="E11" s="32" t="s">
        <v>80</v>
      </c>
      <c r="F11" s="21">
        <v>100</v>
      </c>
      <c r="G11" s="22"/>
    </row>
    <row r="12" spans="1:7" ht="23.25" x14ac:dyDescent="0.25">
      <c r="A12" s="420"/>
      <c r="B12" s="422"/>
      <c r="C12" t="s">
        <v>37</v>
      </c>
      <c r="D12" s="222" t="s">
        <v>88</v>
      </c>
      <c r="E12">
        <v>0</v>
      </c>
      <c r="F12" s="10">
        <f>E12</f>
        <v>0</v>
      </c>
      <c r="G12">
        <f>IF(F12&lt;50,0,IF(F12&gt;=100,100,IF(F12&gt;=50,50,)))</f>
        <v>0</v>
      </c>
    </row>
    <row r="13" spans="1:7" x14ac:dyDescent="0.25">
      <c r="A13" s="420"/>
      <c r="B13" s="422"/>
      <c r="C13" t="s">
        <v>38</v>
      </c>
      <c r="D13" s="222" t="s">
        <v>81</v>
      </c>
      <c r="E13">
        <v>50</v>
      </c>
      <c r="F13" s="10">
        <f t="shared" ref="F13:F15" si="0">E13</f>
        <v>50</v>
      </c>
      <c r="G13">
        <f>IF(F13&lt;50,0,IF(F13&gt;=100,100,IF(F13&gt;=50,50,)))</f>
        <v>50</v>
      </c>
    </row>
    <row r="14" spans="1:7" x14ac:dyDescent="0.25">
      <c r="A14" s="420"/>
      <c r="B14" s="422"/>
      <c r="C14" t="s">
        <v>40</v>
      </c>
      <c r="D14" s="222" t="s">
        <v>87</v>
      </c>
      <c r="E14">
        <v>50</v>
      </c>
      <c r="F14" s="10">
        <f t="shared" si="0"/>
        <v>50</v>
      </c>
      <c r="G14">
        <f>IF(F14&lt;50,0,IF(F14&gt;=100,100,IF(F14&gt;=50,50,)))</f>
        <v>50</v>
      </c>
    </row>
    <row r="15" spans="1:7" ht="15.75" thickBot="1" x14ac:dyDescent="0.3">
      <c r="A15" s="420"/>
      <c r="B15" s="422"/>
      <c r="C15" t="s">
        <v>39</v>
      </c>
      <c r="D15" s="222" t="s">
        <v>82</v>
      </c>
      <c r="E15">
        <v>100</v>
      </c>
      <c r="F15" s="10">
        <f t="shared" si="0"/>
        <v>100</v>
      </c>
      <c r="G15">
        <f>IF(F15&lt;50,0,IF(F15&gt;=100,100,IF(F15&gt;=50,50,)))</f>
        <v>100</v>
      </c>
    </row>
    <row r="16" spans="1:7" ht="27" thickBot="1" x14ac:dyDescent="0.45">
      <c r="A16" s="420"/>
      <c r="B16" s="422"/>
      <c r="C16" t="s">
        <v>289</v>
      </c>
      <c r="D16" s="119"/>
      <c r="E16">
        <v>100</v>
      </c>
      <c r="F16" s="10">
        <f t="shared" ref="F16" si="1">E16</f>
        <v>100</v>
      </c>
      <c r="G16" s="208">
        <f>IF(F16&lt;50,0,IF(F16&gt;=100,100,IF(F16&gt;=50,50,)))</f>
        <v>100</v>
      </c>
    </row>
    <row r="17" spans="1:7" x14ac:dyDescent="0.25">
      <c r="A17" s="420"/>
      <c r="B17" s="422"/>
      <c r="D17" s="119"/>
      <c r="F17" s="10"/>
    </row>
    <row r="18" spans="1:7" ht="11.25" customHeight="1" x14ac:dyDescent="0.25">
      <c r="A18" s="420"/>
      <c r="B18" s="422"/>
      <c r="D18" s="120"/>
    </row>
    <row r="19" spans="1:7" ht="22.35" customHeight="1" thickBot="1" x14ac:dyDescent="0.3">
      <c r="A19" s="423"/>
      <c r="B19" s="425"/>
      <c r="C19" s="4">
        <v>2021</v>
      </c>
      <c r="D19" s="122" t="s">
        <v>78</v>
      </c>
      <c r="E19" s="35" t="s">
        <v>93</v>
      </c>
      <c r="F19" s="21">
        <v>100</v>
      </c>
      <c r="G19" s="22"/>
    </row>
    <row r="20" spans="1:7" x14ac:dyDescent="0.25">
      <c r="B20" s="9"/>
      <c r="C20" t="s">
        <v>37</v>
      </c>
      <c r="D20" s="119" t="s">
        <v>89</v>
      </c>
      <c r="E20">
        <v>0</v>
      </c>
      <c r="F20" s="10">
        <f>E20</f>
        <v>0</v>
      </c>
      <c r="G20">
        <f>IF(F20=1,100,0)</f>
        <v>0</v>
      </c>
    </row>
    <row r="21" spans="1:7" x14ac:dyDescent="0.25">
      <c r="B21" s="9"/>
      <c r="C21" t="s">
        <v>38</v>
      </c>
      <c r="D21" s="119" t="s">
        <v>90</v>
      </c>
      <c r="E21">
        <v>0</v>
      </c>
      <c r="F21" s="10">
        <f t="shared" ref="F21:F23" si="2">E21</f>
        <v>0</v>
      </c>
      <c r="G21">
        <f t="shared" ref="G21:G23" si="3">IF(F21=1,100,0)</f>
        <v>0</v>
      </c>
    </row>
    <row r="22" spans="1:7" x14ac:dyDescent="0.25">
      <c r="B22" s="9"/>
      <c r="C22" t="s">
        <v>40</v>
      </c>
      <c r="D22" s="119" t="s">
        <v>91</v>
      </c>
      <c r="E22">
        <v>0</v>
      </c>
      <c r="F22" s="10">
        <f t="shared" si="2"/>
        <v>0</v>
      </c>
      <c r="G22">
        <f t="shared" si="3"/>
        <v>0</v>
      </c>
    </row>
    <row r="23" spans="1:7" x14ac:dyDescent="0.25">
      <c r="B23" s="9"/>
      <c r="C23" t="s">
        <v>39</v>
      </c>
      <c r="D23" s="119" t="s">
        <v>92</v>
      </c>
      <c r="E23">
        <v>1</v>
      </c>
      <c r="F23" s="10">
        <f t="shared" si="2"/>
        <v>1</v>
      </c>
      <c r="G23">
        <f t="shared" si="3"/>
        <v>100</v>
      </c>
    </row>
    <row r="24" spans="1:7" x14ac:dyDescent="0.25">
      <c r="B24" s="9"/>
      <c r="D24" s="120"/>
    </row>
    <row r="25" spans="1:7" ht="33.6" customHeight="1" x14ac:dyDescent="0.25">
      <c r="B25" s="9"/>
      <c r="C25" s="4">
        <v>2022</v>
      </c>
      <c r="D25" s="122" t="s">
        <v>79</v>
      </c>
      <c r="E25" s="32" t="s">
        <v>98</v>
      </c>
      <c r="F25" s="21">
        <v>100</v>
      </c>
    </row>
    <row r="26" spans="1:7" x14ac:dyDescent="0.25">
      <c r="B26" s="9"/>
      <c r="C26" t="s">
        <v>37</v>
      </c>
      <c r="D26" s="119" t="s">
        <v>94</v>
      </c>
      <c r="E26">
        <v>0</v>
      </c>
      <c r="F26" s="10">
        <f>E26</f>
        <v>0</v>
      </c>
      <c r="G26">
        <f>IF(F26&lt;50,0,IF(F26&gt;=100,100,IF(F26&gt;=50,50)))</f>
        <v>0</v>
      </c>
    </row>
    <row r="27" spans="1:7" ht="23.25" x14ac:dyDescent="0.25">
      <c r="B27" s="9"/>
      <c r="C27" t="s">
        <v>38</v>
      </c>
      <c r="D27" s="119" t="s">
        <v>95</v>
      </c>
      <c r="E27">
        <v>50</v>
      </c>
      <c r="F27" s="10">
        <f t="shared" ref="F27:F29" si="4">E27</f>
        <v>50</v>
      </c>
      <c r="G27">
        <f t="shared" ref="G27:G29" si="5">IF(F27&lt;50,0,IF(F27&gt;=100,100,IF(F27&gt;=50,50)))</f>
        <v>50</v>
      </c>
    </row>
    <row r="28" spans="1:7" x14ac:dyDescent="0.25">
      <c r="B28" s="9"/>
      <c r="C28" t="s">
        <v>40</v>
      </c>
      <c r="D28" s="34" t="s">
        <v>96</v>
      </c>
      <c r="E28">
        <v>50</v>
      </c>
      <c r="F28" s="10">
        <f t="shared" si="4"/>
        <v>50</v>
      </c>
      <c r="G28">
        <f t="shared" si="5"/>
        <v>50</v>
      </c>
    </row>
    <row r="29" spans="1:7" x14ac:dyDescent="0.25">
      <c r="B29" s="9"/>
      <c r="C29" t="s">
        <v>39</v>
      </c>
      <c r="D29" s="34" t="s">
        <v>97</v>
      </c>
      <c r="E29">
        <v>100</v>
      </c>
      <c r="F29" s="10">
        <f t="shared" si="4"/>
        <v>100</v>
      </c>
      <c r="G29">
        <f t="shared" si="5"/>
        <v>100</v>
      </c>
    </row>
    <row r="30" spans="1:7" ht="11.25" customHeight="1" x14ac:dyDescent="0.25">
      <c r="B30" s="9"/>
    </row>
    <row r="31" spans="1:7" ht="15.75" customHeight="1" x14ac:dyDescent="0.25">
      <c r="B31" s="27" t="s">
        <v>61</v>
      </c>
    </row>
    <row r="32" spans="1:7" ht="18.75" customHeight="1" x14ac:dyDescent="0.25">
      <c r="B32" s="11" t="s">
        <v>107</v>
      </c>
    </row>
    <row r="33" spans="1:7" ht="24.75" customHeight="1" x14ac:dyDescent="0.25">
      <c r="B33" s="427" t="s">
        <v>28</v>
      </c>
      <c r="C33" s="427"/>
      <c r="D33" s="427"/>
      <c r="E33" s="427"/>
      <c r="F33" s="427"/>
      <c r="G33" s="427"/>
    </row>
    <row r="36" spans="1:7" x14ac:dyDescent="0.25">
      <c r="A36" t="s">
        <v>290</v>
      </c>
    </row>
  </sheetData>
  <mergeCells count="3">
    <mergeCell ref="D3:G3"/>
    <mergeCell ref="B33:G33"/>
    <mergeCell ref="A11:B1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78"/>
  <sheetViews>
    <sheetView topLeftCell="A5" zoomScale="90" zoomScaleNormal="90" workbookViewId="0">
      <selection activeCell="F16" sqref="F16"/>
    </sheetView>
  </sheetViews>
  <sheetFormatPr baseColWidth="10" defaultColWidth="8.85546875" defaultRowHeight="15" x14ac:dyDescent="0.25"/>
  <cols>
    <col min="1" max="1" width="27" customWidth="1"/>
    <col min="2" max="2" width="27.7109375" customWidth="1"/>
    <col min="3" max="3" width="21.7109375" bestFit="1" customWidth="1"/>
    <col min="4" max="4" width="15.28515625" customWidth="1"/>
    <col min="5" max="5" width="14.28515625" customWidth="1"/>
    <col min="6" max="6" width="12.5703125" customWidth="1"/>
    <col min="7" max="7" width="11" customWidth="1"/>
    <col min="8" max="8" width="11.85546875" customWidth="1"/>
    <col min="9" max="9" width="10" bestFit="1" customWidth="1"/>
    <col min="11" max="11" width="10.140625" customWidth="1"/>
    <col min="12" max="12" width="14.7109375" customWidth="1"/>
    <col min="15" max="15" width="23.42578125" customWidth="1"/>
    <col min="16" max="16" width="18.140625" customWidth="1"/>
    <col min="17" max="17" width="12.85546875" bestFit="1" customWidth="1"/>
  </cols>
  <sheetData>
    <row r="1" spans="1:11" x14ac:dyDescent="0.25">
      <c r="A1" t="s">
        <v>0</v>
      </c>
    </row>
    <row r="2" spans="1:11" x14ac:dyDescent="0.25">
      <c r="D2" s="432" t="s">
        <v>10</v>
      </c>
      <c r="E2" s="432"/>
      <c r="F2" s="432"/>
    </row>
    <row r="3" spans="1:11" ht="67.349999999999994" customHeight="1" x14ac:dyDescent="0.25">
      <c r="A3" t="s">
        <v>108</v>
      </c>
      <c r="B3" t="s">
        <v>3</v>
      </c>
      <c r="C3" t="s">
        <v>179</v>
      </c>
      <c r="D3" s="37" t="s">
        <v>171</v>
      </c>
      <c r="E3" s="37" t="s">
        <v>115</v>
      </c>
      <c r="F3" s="37" t="s">
        <v>116</v>
      </c>
      <c r="G3" s="3" t="s">
        <v>11</v>
      </c>
      <c r="H3" s="2" t="s">
        <v>18</v>
      </c>
      <c r="I3" s="3" t="s">
        <v>25</v>
      </c>
    </row>
    <row r="4" spans="1:11" ht="57.75" x14ac:dyDescent="0.25">
      <c r="A4" s="38" t="s">
        <v>109</v>
      </c>
      <c r="B4" s="1" t="s">
        <v>110</v>
      </c>
      <c r="C4" s="29" t="s">
        <v>114</v>
      </c>
      <c r="D4" s="5">
        <v>150843850.56999999</v>
      </c>
      <c r="E4" s="6">
        <v>791552694.89999998</v>
      </c>
      <c r="F4" s="39">
        <f>(D4/E4)*100</f>
        <v>19.056703557690081</v>
      </c>
      <c r="G4" s="41">
        <f>F4</f>
        <v>19.056703557690081</v>
      </c>
      <c r="H4" s="41">
        <v>22</v>
      </c>
    </row>
    <row r="5" spans="1:11" ht="15.75" thickBot="1" x14ac:dyDescent="0.3">
      <c r="B5" s="8" t="s">
        <v>17</v>
      </c>
      <c r="C5" s="8" t="s">
        <v>37</v>
      </c>
      <c r="D5" s="44">
        <v>170000000</v>
      </c>
      <c r="E5" s="45">
        <v>800000000</v>
      </c>
      <c r="F5" s="55">
        <f>(D5/E5)*100</f>
        <v>21.25</v>
      </c>
      <c r="G5" s="169">
        <f>F5</f>
        <v>21.25</v>
      </c>
      <c r="H5" s="135">
        <f>+((G5-$G$4)/($H$4-$G$4))*100</f>
        <v>74.518366916130446</v>
      </c>
      <c r="I5" s="169">
        <f>IF(H5&lt;50,0,IF(H5&gt;100,100,IF(H5&gt;50,H5,)))</f>
        <v>74.518366916130446</v>
      </c>
    </row>
    <row r="6" spans="1:11" x14ac:dyDescent="0.25">
      <c r="A6" s="71" t="s">
        <v>178</v>
      </c>
      <c r="B6" s="8"/>
      <c r="C6" s="8" t="s">
        <v>38</v>
      </c>
      <c r="D6" s="8">
        <f>+D5+2300000</f>
        <v>172300000</v>
      </c>
      <c r="E6" s="8">
        <f>+E5+1000000</f>
        <v>801000000</v>
      </c>
      <c r="F6" s="55">
        <f t="shared" ref="F6:F8" si="0">(D6/E6)*100</f>
        <v>21.510611735330837</v>
      </c>
      <c r="G6" s="169">
        <f>F6</f>
        <v>21.510611735330837</v>
      </c>
      <c r="H6" s="135">
        <f t="shared" ref="H6:H8" si="1">+((G6-$G$4)/($H$4-$G$4))*100</f>
        <v>83.372783738864982</v>
      </c>
      <c r="I6" s="169">
        <f>IF(H6&lt;50,0,IF(H6&gt;100,100,IF(H6&gt;50,H6,)))</f>
        <v>83.372783738864982</v>
      </c>
    </row>
    <row r="7" spans="1:11" ht="15.75" x14ac:dyDescent="0.25">
      <c r="A7" s="72"/>
      <c r="B7" s="18" t="s">
        <v>65</v>
      </c>
      <c r="C7" s="8" t="s">
        <v>40</v>
      </c>
      <c r="D7" s="8">
        <f t="shared" ref="D7:D8" si="2">+D6+2300000</f>
        <v>174600000</v>
      </c>
      <c r="E7" s="8">
        <f t="shared" ref="E7:E8" si="3">+E6+1000000</f>
        <v>802000000</v>
      </c>
      <c r="F7" s="55">
        <f t="shared" si="0"/>
        <v>21.770573566084789</v>
      </c>
      <c r="G7" s="169">
        <f>F7</f>
        <v>21.770573566084789</v>
      </c>
      <c r="H7" s="135">
        <f t="shared" si="1"/>
        <v>92.205119721642575</v>
      </c>
      <c r="I7" s="169">
        <f>IF(H7&lt;50,0,IF(H7&gt;100,100,IF(H7&gt;50,H7,)))</f>
        <v>92.205119721642575</v>
      </c>
    </row>
    <row r="8" spans="1:11" ht="19.5" customHeight="1" x14ac:dyDescent="0.25">
      <c r="A8" s="72" t="s">
        <v>177</v>
      </c>
      <c r="C8" s="8" t="s">
        <v>39</v>
      </c>
      <c r="D8" s="8">
        <f t="shared" si="2"/>
        <v>176900000</v>
      </c>
      <c r="E8" s="8">
        <f t="shared" si="3"/>
        <v>803000000</v>
      </c>
      <c r="F8" s="55">
        <f t="shared" si="0"/>
        <v>22.029887920298879</v>
      </c>
      <c r="G8" s="169">
        <f>F8</f>
        <v>22.029887920298879</v>
      </c>
      <c r="H8" s="135">
        <f t="shared" si="1"/>
        <v>101.0154573582613</v>
      </c>
      <c r="I8" s="169">
        <f>IF(H8&lt;50,0,IF(H8&gt;100,100,IF(H8&gt;50,H8,)))</f>
        <v>100</v>
      </c>
    </row>
    <row r="9" spans="1:11" ht="11.25" customHeight="1" x14ac:dyDescent="0.25">
      <c r="A9" s="72" t="s">
        <v>173</v>
      </c>
      <c r="B9" s="9" t="s">
        <v>20</v>
      </c>
      <c r="C9" s="8"/>
      <c r="D9" s="8"/>
      <c r="E9" s="8"/>
      <c r="F9" s="36"/>
      <c r="G9" s="51">
        <v>2019</v>
      </c>
      <c r="H9" s="51">
        <v>2020</v>
      </c>
      <c r="I9" s="169"/>
    </row>
    <row r="10" spans="1:11" ht="11.25" customHeight="1" x14ac:dyDescent="0.25">
      <c r="A10" s="72" t="s">
        <v>174</v>
      </c>
      <c r="B10" s="14" t="s">
        <v>111</v>
      </c>
      <c r="C10" s="170">
        <v>2020</v>
      </c>
      <c r="D10" s="8"/>
      <c r="E10" s="8"/>
      <c r="F10" s="8"/>
      <c r="G10" s="171">
        <f>+G8</f>
        <v>22.029887920298879</v>
      </c>
      <c r="H10" s="8">
        <v>24</v>
      </c>
      <c r="I10" s="169"/>
      <c r="K10" s="66" t="s">
        <v>172</v>
      </c>
    </row>
    <row r="11" spans="1:11" ht="45" x14ac:dyDescent="0.25">
      <c r="A11" s="433" t="s">
        <v>175</v>
      </c>
      <c r="B11" s="9" t="s">
        <v>113</v>
      </c>
      <c r="C11" s="8" t="s">
        <v>37</v>
      </c>
      <c r="D11" s="172">
        <f>+D8+2300000</f>
        <v>179200000</v>
      </c>
      <c r="E11" s="172">
        <f>+E8+1000000</f>
        <v>804000000</v>
      </c>
      <c r="F11" s="50">
        <f t="shared" ref="F11:F14" si="4">(D11/E11)*100</f>
        <v>22.28855721393035</v>
      </c>
      <c r="G11" s="173">
        <f>F11</f>
        <v>22.28855721393035</v>
      </c>
      <c r="H11" s="135">
        <f>+((G11-$G$10)/($H$10-$G$10))*100</f>
        <v>13.129674006704855</v>
      </c>
      <c r="I11" s="169">
        <f>IF(H11&lt;50,0,IF(H11&gt;100,100,IF(H11&gt;50,H11,)))</f>
        <v>0</v>
      </c>
    </row>
    <row r="12" spans="1:11" ht="18.75" customHeight="1" x14ac:dyDescent="0.25">
      <c r="A12" s="433"/>
      <c r="B12" s="15" t="s">
        <v>112</v>
      </c>
      <c r="C12" s="8" t="s">
        <v>38</v>
      </c>
      <c r="D12" s="8">
        <f>+D11+4000000</f>
        <v>183200000</v>
      </c>
      <c r="E12" s="8">
        <f t="shared" ref="E12:E14" si="5">+E11+1000000</f>
        <v>805000000</v>
      </c>
      <c r="F12" s="36">
        <f t="shared" si="4"/>
        <v>22.757763975155278</v>
      </c>
      <c r="G12" s="173">
        <f>F12</f>
        <v>22.757763975155278</v>
      </c>
      <c r="H12" s="135">
        <f t="shared" ref="H12:H14" si="6">+((G12-$G$10)/($H$10-$G$10))*100</f>
        <v>36.945921115656652</v>
      </c>
      <c r="I12" s="169">
        <f>IF(H12&lt;50,0,IF(H12&gt;100,100,IF(H12&gt;50,H12,)))</f>
        <v>0</v>
      </c>
    </row>
    <row r="13" spans="1:11" ht="18.75" customHeight="1" x14ac:dyDescent="0.25">
      <c r="A13" s="428" t="s">
        <v>176</v>
      </c>
      <c r="C13" s="8" t="s">
        <v>40</v>
      </c>
      <c r="D13" s="8">
        <f>+D12+5000000</f>
        <v>188200000</v>
      </c>
      <c r="E13" s="8">
        <f t="shared" si="5"/>
        <v>806000000</v>
      </c>
      <c r="F13" s="36">
        <f t="shared" si="4"/>
        <v>23.34987593052109</v>
      </c>
      <c r="G13" s="173">
        <f>F13</f>
        <v>23.34987593052109</v>
      </c>
      <c r="H13" s="135">
        <f t="shared" si="6"/>
        <v>67.000655638965583</v>
      </c>
      <c r="I13" s="169">
        <f>IF(H13&lt;50,0,IF(H13&gt;100,100,IF(H13&gt;50,H13,)))</f>
        <v>67.000655638965583</v>
      </c>
    </row>
    <row r="14" spans="1:11" ht="18.75" customHeight="1" thickBot="1" x14ac:dyDescent="0.3">
      <c r="A14" s="435"/>
      <c r="B14" s="9"/>
      <c r="C14" s="8" t="s">
        <v>39</v>
      </c>
      <c r="D14" s="8">
        <f>+D13+5000000</f>
        <v>193200000</v>
      </c>
      <c r="E14" s="8">
        <f t="shared" si="5"/>
        <v>807000000</v>
      </c>
      <c r="F14" s="36">
        <f t="shared" si="4"/>
        <v>23.940520446096656</v>
      </c>
      <c r="G14" s="173">
        <f>F14</f>
        <v>23.940520446096656</v>
      </c>
      <c r="H14" s="135">
        <f t="shared" si="6"/>
        <v>96.980905070519256</v>
      </c>
      <c r="I14" s="169">
        <f>IF(H14&lt;50,0,IF(H14&gt;100,100,IF(H14&gt;50,H14,)))</f>
        <v>96.980905070519256</v>
      </c>
    </row>
    <row r="15" spans="1:11" ht="11.25" customHeight="1" thickBot="1" x14ac:dyDescent="0.3">
      <c r="B15" s="9"/>
      <c r="C15" s="8"/>
      <c r="D15" s="8"/>
      <c r="E15" s="8"/>
      <c r="F15" s="8"/>
      <c r="G15" s="48">
        <v>2020</v>
      </c>
      <c r="H15" s="48">
        <v>2021</v>
      </c>
      <c r="I15" s="169"/>
    </row>
    <row r="16" spans="1:11" ht="21" customHeight="1" x14ac:dyDescent="0.25">
      <c r="A16" s="417" t="s">
        <v>336</v>
      </c>
      <c r="B16" s="419"/>
      <c r="C16" s="271" t="s">
        <v>313</v>
      </c>
      <c r="D16" s="270">
        <f>L143</f>
        <v>1445.5</v>
      </c>
      <c r="E16" s="270">
        <f>Q143</f>
        <v>4072.5505833699999</v>
      </c>
      <c r="F16" s="272">
        <f t="shared" ref="F16" si="7">(D16/E16)*100</f>
        <v>35.493727343807755</v>
      </c>
      <c r="G16" s="169">
        <f>F16</f>
        <v>35.493727343807755</v>
      </c>
      <c r="H16" s="135">
        <f t="shared" ref="H16" si="8">+((G16-$G$10)/($H$10-$G$10))*100</f>
        <v>683.40474444232791</v>
      </c>
      <c r="I16" s="273">
        <f>IF(H16&lt;50,0,IF(H16&gt;100,100,IF(H16&gt;50,H16,)))</f>
        <v>100</v>
      </c>
    </row>
    <row r="17" spans="1:11" ht="11.25" customHeight="1" x14ac:dyDescent="0.25">
      <c r="A17" s="420"/>
      <c r="B17" s="422"/>
      <c r="C17" s="8"/>
      <c r="D17" s="8"/>
      <c r="E17" s="8"/>
      <c r="F17" s="8"/>
      <c r="G17" s="48"/>
      <c r="H17" s="48"/>
      <c r="I17" s="169"/>
    </row>
    <row r="18" spans="1:11" ht="11.25" customHeight="1" x14ac:dyDescent="0.25">
      <c r="A18" s="420"/>
      <c r="B18" s="422"/>
      <c r="C18" s="170">
        <v>2021</v>
      </c>
      <c r="D18" s="8"/>
      <c r="E18" s="8"/>
      <c r="F18" s="8"/>
      <c r="G18" s="174">
        <f>+G14</f>
        <v>23.940520446096656</v>
      </c>
      <c r="H18" s="8">
        <v>27</v>
      </c>
      <c r="I18" s="169"/>
      <c r="K18" s="66" t="s">
        <v>172</v>
      </c>
    </row>
    <row r="19" spans="1:11" ht="16.5" customHeight="1" x14ac:dyDescent="0.25">
      <c r="A19" s="420"/>
      <c r="B19" s="422"/>
      <c r="C19" s="8" t="s">
        <v>37</v>
      </c>
      <c r="D19" s="172">
        <f>+D14+350000</f>
        <v>193550000</v>
      </c>
      <c r="E19" s="172">
        <v>808000000</v>
      </c>
      <c r="F19" s="50">
        <f t="shared" ref="F19:F22" si="9">(D19/E19)*100</f>
        <v>23.954207920792079</v>
      </c>
      <c r="G19" s="173">
        <f>F19</f>
        <v>23.954207920792079</v>
      </c>
      <c r="H19" s="135">
        <f>+((G19-$G$18)/($H$18-$G$18))*100</f>
        <v>0.44737918506304997</v>
      </c>
      <c r="I19" s="169">
        <f>IF(H19&lt;50,0,IF(H19&gt;100,100,IF(H19&gt;50,H19,)))</f>
        <v>0</v>
      </c>
    </row>
    <row r="20" spans="1:11" ht="16.5" customHeight="1" x14ac:dyDescent="0.25">
      <c r="A20" s="420"/>
      <c r="B20" s="422"/>
      <c r="C20" s="8" t="s">
        <v>38</v>
      </c>
      <c r="D20" s="8">
        <f t="shared" ref="D20:D21" si="10">+D19+4000000</f>
        <v>197550000</v>
      </c>
      <c r="E20" s="8">
        <f t="shared" ref="E20:E22" si="11">+E19+1000000</f>
        <v>809000000</v>
      </c>
      <c r="F20" s="36">
        <f t="shared" si="9"/>
        <v>24.419035846724352</v>
      </c>
      <c r="G20" s="173">
        <f>F20</f>
        <v>24.419035846724352</v>
      </c>
      <c r="H20" s="135">
        <f t="shared" ref="H20:H22" si="12">+((G20-$G$18)/($H$18-$G$18))*100</f>
        <v>15.640418319422883</v>
      </c>
      <c r="I20" s="169">
        <f>IF(H20&lt;50,0,IF(H20&gt;100,100,IF(H20&gt;50,H20,)))</f>
        <v>0</v>
      </c>
    </row>
    <row r="21" spans="1:11" ht="16.5" customHeight="1" x14ac:dyDescent="0.25">
      <c r="A21" s="420"/>
      <c r="B21" s="422"/>
      <c r="C21" s="8" t="s">
        <v>40</v>
      </c>
      <c r="D21" s="8">
        <f t="shared" si="10"/>
        <v>201550000</v>
      </c>
      <c r="E21" s="8">
        <f t="shared" si="11"/>
        <v>810000000</v>
      </c>
      <c r="F21" s="36">
        <f t="shared" si="9"/>
        <v>24.882716049382715</v>
      </c>
      <c r="G21" s="173">
        <f>F21</f>
        <v>24.882716049382715</v>
      </c>
      <c r="H21" s="135">
        <f t="shared" si="12"/>
        <v>30.795943776907663</v>
      </c>
      <c r="I21" s="169">
        <f>IF(H21&lt;50,0,IF(H21&gt;100,100,IF(H21&gt;50,H21,)))</f>
        <v>0</v>
      </c>
    </row>
    <row r="22" spans="1:11" ht="16.5" customHeight="1" x14ac:dyDescent="0.25">
      <c r="A22" s="420"/>
      <c r="B22" s="422"/>
      <c r="C22" s="8" t="s">
        <v>39</v>
      </c>
      <c r="D22" s="8">
        <f>+D21+6500000</f>
        <v>208050000</v>
      </c>
      <c r="E22" s="8">
        <f t="shared" si="11"/>
        <v>811000000</v>
      </c>
      <c r="F22" s="36">
        <f t="shared" si="9"/>
        <v>25.653514180024661</v>
      </c>
      <c r="G22" s="173">
        <f>F22</f>
        <v>25.653514180024661</v>
      </c>
      <c r="H22" s="135">
        <f t="shared" si="12"/>
        <v>55.989710136893521</v>
      </c>
      <c r="I22" s="169">
        <f>IF(H22&lt;50,0,IF(H22&gt;100,100,IF(H22&gt;50,H22,)))</f>
        <v>55.989710136893521</v>
      </c>
    </row>
    <row r="23" spans="1:11" ht="11.25" customHeight="1" x14ac:dyDescent="0.25">
      <c r="A23" s="420"/>
      <c r="B23" s="422"/>
      <c r="C23" s="8"/>
      <c r="D23" s="8"/>
      <c r="E23" s="8"/>
      <c r="F23" s="8"/>
      <c r="G23" s="47">
        <v>2021</v>
      </c>
      <c r="H23" s="47">
        <v>2022</v>
      </c>
      <c r="I23" s="169"/>
    </row>
    <row r="24" spans="1:11" ht="11.25" customHeight="1" x14ac:dyDescent="0.25">
      <c r="A24" s="420"/>
      <c r="B24" s="422"/>
      <c r="C24" s="170">
        <v>2022</v>
      </c>
      <c r="D24" s="8"/>
      <c r="E24" s="8"/>
      <c r="F24" s="8"/>
      <c r="G24" s="174">
        <f>+G22</f>
        <v>25.653514180024661</v>
      </c>
      <c r="H24" s="8">
        <v>30</v>
      </c>
      <c r="I24" s="169"/>
      <c r="K24" s="66" t="s">
        <v>172</v>
      </c>
    </row>
    <row r="25" spans="1:11" ht="11.25" customHeight="1" x14ac:dyDescent="0.25">
      <c r="A25" s="420"/>
      <c r="B25" s="422"/>
      <c r="C25" s="8" t="s">
        <v>37</v>
      </c>
      <c r="D25" s="172">
        <f>+D22+450000</f>
        <v>208500000</v>
      </c>
      <c r="E25" s="172">
        <f>+E22+1000000</f>
        <v>812000000</v>
      </c>
      <c r="F25" s="50">
        <f t="shared" ref="F25:F28" si="13">(D25/E25)*100</f>
        <v>25.677339901477829</v>
      </c>
      <c r="G25" s="173">
        <f>F25</f>
        <v>25.677339901477829</v>
      </c>
      <c r="H25" s="135">
        <f>+((G25-$G$24)/($H$24-$G$24))*100</f>
        <v>0.54816057017075559</v>
      </c>
      <c r="I25" s="169">
        <f>IF(H25&lt;50,0,IF(H25&gt;100,100,IF(H25&gt;50,H25,)))</f>
        <v>0</v>
      </c>
    </row>
    <row r="26" spans="1:11" ht="11.25" customHeight="1" x14ac:dyDescent="0.25">
      <c r="A26" s="420"/>
      <c r="B26" s="422"/>
      <c r="C26" s="8" t="s">
        <v>38</v>
      </c>
      <c r="D26" s="8">
        <f>+D25+12000000</f>
        <v>220500000</v>
      </c>
      <c r="E26" s="8">
        <f t="shared" ref="E26:E28" si="14">+E25+1000000</f>
        <v>813000000</v>
      </c>
      <c r="F26" s="36">
        <f t="shared" si="13"/>
        <v>27.121771217712176</v>
      </c>
      <c r="G26" s="173">
        <f>F26</f>
        <v>27.121771217712176</v>
      </c>
      <c r="H26" s="135">
        <f t="shared" ref="H26:H28" si="15">+((G26-$G$24)/($H$24-$G$24))*100</f>
        <v>33.780325037292897</v>
      </c>
      <c r="I26" s="169">
        <f>IF(H26&lt;50,0,IF(H26&gt;100,100,IF(H26&gt;50,H26,)))</f>
        <v>0</v>
      </c>
    </row>
    <row r="27" spans="1:11" ht="11.25" customHeight="1" x14ac:dyDescent="0.25">
      <c r="A27" s="420"/>
      <c r="B27" s="422"/>
      <c r="C27" s="8" t="s">
        <v>40</v>
      </c>
      <c r="D27" s="8">
        <f>+D26+12000000</f>
        <v>232500000</v>
      </c>
      <c r="E27" s="8">
        <f t="shared" si="14"/>
        <v>814000000</v>
      </c>
      <c r="F27" s="36">
        <f t="shared" si="13"/>
        <v>28.562653562653562</v>
      </c>
      <c r="G27" s="173">
        <f>F27</f>
        <v>28.562653562653562</v>
      </c>
      <c r="H27" s="135">
        <f t="shared" si="15"/>
        <v>66.930837994667769</v>
      </c>
      <c r="I27" s="169">
        <f>IF(H27&lt;50,0,IF(H27&gt;100,100,IF(H27&gt;50,H27,)))</f>
        <v>66.930837994667769</v>
      </c>
    </row>
    <row r="28" spans="1:11" ht="11.25" customHeight="1" x14ac:dyDescent="0.25">
      <c r="A28" s="420"/>
      <c r="B28" s="422"/>
      <c r="C28" s="8" t="s">
        <v>39</v>
      </c>
      <c r="D28" s="8">
        <f>+D27+12000000</f>
        <v>244500000</v>
      </c>
      <c r="E28" s="8">
        <f t="shared" si="14"/>
        <v>815000000</v>
      </c>
      <c r="F28" s="36">
        <f t="shared" si="13"/>
        <v>30</v>
      </c>
      <c r="G28" s="173">
        <f>F28</f>
        <v>30</v>
      </c>
      <c r="H28" s="135">
        <f t="shared" si="15"/>
        <v>100</v>
      </c>
      <c r="I28" s="169">
        <f>IF(H28&lt;50,0,IF(H28&gt;100,100,IF(H28&gt;50,H28,)))</f>
        <v>100</v>
      </c>
    </row>
    <row r="29" spans="1:11" ht="11.25" customHeight="1" x14ac:dyDescent="0.25">
      <c r="A29" s="420"/>
      <c r="B29" s="422"/>
    </row>
    <row r="30" spans="1:11" ht="11.25" customHeight="1" thickBot="1" x14ac:dyDescent="0.3">
      <c r="A30" s="423"/>
      <c r="B30" s="425"/>
      <c r="D30" s="27" t="s">
        <v>61</v>
      </c>
    </row>
    <row r="31" spans="1:11" ht="11.25" customHeight="1" x14ac:dyDescent="0.25"/>
    <row r="32" spans="1:11" ht="15.75" customHeight="1" x14ac:dyDescent="0.25"/>
    <row r="33" spans="1:8" ht="18.75" customHeight="1" x14ac:dyDescent="0.25">
      <c r="B33" s="11" t="s">
        <v>27</v>
      </c>
    </row>
    <row r="34" spans="1:8" ht="24.75" customHeight="1" x14ac:dyDescent="0.25">
      <c r="B34" s="427" t="s">
        <v>28</v>
      </c>
      <c r="C34" s="427"/>
      <c r="D34" s="427"/>
      <c r="E34" s="427"/>
      <c r="F34" s="427"/>
      <c r="G34" s="427"/>
    </row>
    <row r="39" spans="1:8" x14ac:dyDescent="0.25">
      <c r="B39" t="s">
        <v>330</v>
      </c>
    </row>
    <row r="40" spans="1:8" ht="120" x14ac:dyDescent="0.25">
      <c r="A40" s="451" t="s">
        <v>331</v>
      </c>
      <c r="B40" s="452"/>
      <c r="C40" s="240"/>
      <c r="D40" s="241" t="s">
        <v>314</v>
      </c>
      <c r="E40" s="241" t="s">
        <v>315</v>
      </c>
      <c r="F40" s="242" t="s">
        <v>316</v>
      </c>
      <c r="G40" s="266" t="s">
        <v>317</v>
      </c>
      <c r="H40" s="266" t="s">
        <v>318</v>
      </c>
    </row>
    <row r="41" spans="1:8" x14ac:dyDescent="0.25">
      <c r="A41" s="451"/>
      <c r="B41" s="452"/>
      <c r="C41" s="243" t="s">
        <v>319</v>
      </c>
      <c r="D41" s="244">
        <v>1407</v>
      </c>
      <c r="E41" s="245">
        <v>1354.9</v>
      </c>
      <c r="F41" s="246">
        <v>0.19470000000000001</v>
      </c>
      <c r="G41" s="247">
        <v>1354.56</v>
      </c>
      <c r="H41" s="248">
        <f>G41/$G$53</f>
        <v>0.19467942913810202</v>
      </c>
    </row>
    <row r="42" spans="1:8" x14ac:dyDescent="0.25">
      <c r="A42" s="451"/>
      <c r="B42" s="452"/>
      <c r="C42" s="249" t="s">
        <v>320</v>
      </c>
      <c r="D42" s="236">
        <v>35</v>
      </c>
      <c r="E42" s="236">
        <v>30.1</v>
      </c>
      <c r="F42" s="250">
        <v>4.3E-3</v>
      </c>
      <c r="G42" s="251">
        <v>30.1</v>
      </c>
      <c r="H42" s="252">
        <f t="shared" ref="H42:H53" si="16">G42/$G$53</f>
        <v>4.3260179077020374E-3</v>
      </c>
    </row>
    <row r="43" spans="1:8" x14ac:dyDescent="0.25">
      <c r="A43" s="451"/>
      <c r="B43" s="452"/>
      <c r="C43" s="249" t="s">
        <v>321</v>
      </c>
      <c r="D43" s="236">
        <v>93</v>
      </c>
      <c r="E43" s="236" t="s">
        <v>322</v>
      </c>
      <c r="F43" s="250">
        <v>9.1000000000000004E-3</v>
      </c>
      <c r="G43" s="251">
        <v>63.46</v>
      </c>
      <c r="H43" s="252">
        <f t="shared" si="16"/>
        <v>9.1205679874674841E-3</v>
      </c>
    </row>
    <row r="44" spans="1:8" x14ac:dyDescent="0.25">
      <c r="C44" s="249" t="s">
        <v>323</v>
      </c>
      <c r="D44" s="253">
        <v>1279</v>
      </c>
      <c r="E44" s="253">
        <v>1261</v>
      </c>
      <c r="F44" s="250">
        <v>0.18129999999999999</v>
      </c>
      <c r="G44" s="251">
        <v>1261</v>
      </c>
      <c r="H44" s="252">
        <f t="shared" si="16"/>
        <v>0.18123284324293251</v>
      </c>
    </row>
    <row r="45" spans="1:8" x14ac:dyDescent="0.25">
      <c r="C45" s="254" t="s">
        <v>324</v>
      </c>
      <c r="D45" s="255">
        <v>2525</v>
      </c>
      <c r="E45" s="245">
        <v>2445.3000000000002</v>
      </c>
      <c r="F45" s="256">
        <v>0.35139999999999999</v>
      </c>
      <c r="G45" s="257">
        <v>2445.29</v>
      </c>
      <c r="H45" s="267">
        <f t="shared" si="16"/>
        <v>0.35144080828985758</v>
      </c>
    </row>
    <row r="46" spans="1:8" x14ac:dyDescent="0.25">
      <c r="C46" s="249" t="s">
        <v>320</v>
      </c>
      <c r="D46" s="236">
        <v>150</v>
      </c>
      <c r="E46" s="236" t="s">
        <v>325</v>
      </c>
      <c r="F46" s="250">
        <v>1.7999999999999999E-2</v>
      </c>
      <c r="G46" s="251">
        <v>125.12</v>
      </c>
      <c r="H46" s="252">
        <f t="shared" si="16"/>
        <v>1.7982437229623883E-2</v>
      </c>
    </row>
    <row r="47" spans="1:8" x14ac:dyDescent="0.25">
      <c r="C47" s="249" t="s">
        <v>321</v>
      </c>
      <c r="D47" s="236">
        <v>794</v>
      </c>
      <c r="E47" s="236">
        <v>737.4</v>
      </c>
      <c r="F47" s="250">
        <v>0.106</v>
      </c>
      <c r="G47" s="251">
        <v>737.4</v>
      </c>
      <c r="H47" s="252">
        <f t="shared" si="16"/>
        <v>0.10598025266244125</v>
      </c>
    </row>
    <row r="48" spans="1:8" x14ac:dyDescent="0.25">
      <c r="C48" s="249" t="s">
        <v>323</v>
      </c>
      <c r="D48" s="253">
        <v>1581</v>
      </c>
      <c r="E48" s="236" t="s">
        <v>326</v>
      </c>
      <c r="F48" s="250">
        <v>0.22750000000000001</v>
      </c>
      <c r="G48" s="251">
        <v>1582.77</v>
      </c>
      <c r="H48" s="252">
        <f t="shared" si="16"/>
        <v>0.22747811839779244</v>
      </c>
    </row>
    <row r="49" spans="3:8" x14ac:dyDescent="0.25">
      <c r="C49" s="269" t="s">
        <v>327</v>
      </c>
      <c r="D49" s="258">
        <v>352</v>
      </c>
      <c r="E49" s="245">
        <v>3158.1</v>
      </c>
      <c r="F49" s="259">
        <v>0.45390000000000003</v>
      </c>
      <c r="G49" s="260">
        <v>3158.05</v>
      </c>
      <c r="H49" s="268">
        <f t="shared" si="16"/>
        <v>0.45387976257204049</v>
      </c>
    </row>
    <row r="50" spans="3:8" x14ac:dyDescent="0.25">
      <c r="C50" s="249" t="s">
        <v>320</v>
      </c>
      <c r="D50" s="236">
        <v>83</v>
      </c>
      <c r="E50" s="236">
        <v>946.7</v>
      </c>
      <c r="F50" s="250">
        <v>0.1361</v>
      </c>
      <c r="G50" s="251">
        <v>946.7</v>
      </c>
      <c r="H50" s="252">
        <f t="shared" si="16"/>
        <v>0.13606116788111358</v>
      </c>
    </row>
    <row r="51" spans="3:8" x14ac:dyDescent="0.25">
      <c r="C51" s="249" t="s">
        <v>321</v>
      </c>
      <c r="D51" s="253">
        <v>235</v>
      </c>
      <c r="E51" s="245">
        <v>2084.6999999999998</v>
      </c>
      <c r="F51" s="250">
        <v>0.29959999999999998</v>
      </c>
      <c r="G51" s="251">
        <v>2084.6999999999998</v>
      </c>
      <c r="H51" s="252">
        <f t="shared" si="16"/>
        <v>0.29961626352778853</v>
      </c>
    </row>
    <row r="52" spans="3:8" x14ac:dyDescent="0.25">
      <c r="C52" s="249" t="s">
        <v>323</v>
      </c>
      <c r="D52" s="236">
        <v>34</v>
      </c>
      <c r="E52" s="236" t="s">
        <v>328</v>
      </c>
      <c r="F52" s="250">
        <v>1.8200000000000001E-2</v>
      </c>
      <c r="G52" s="251">
        <v>126.65</v>
      </c>
      <c r="H52" s="252">
        <f t="shared" si="16"/>
        <v>1.8202331163138304E-2</v>
      </c>
    </row>
    <row r="53" spans="3:8" x14ac:dyDescent="0.25">
      <c r="C53" s="261" t="s">
        <v>329</v>
      </c>
      <c r="D53" s="262">
        <v>4284</v>
      </c>
      <c r="E53" s="263">
        <v>6958.2</v>
      </c>
      <c r="F53" s="264">
        <v>1</v>
      </c>
      <c r="G53" s="265">
        <f>G41+G45+G49</f>
        <v>6957.9</v>
      </c>
      <c r="H53" s="264">
        <f t="shared" si="16"/>
        <v>1</v>
      </c>
    </row>
    <row r="109" spans="16:20" x14ac:dyDescent="0.25">
      <c r="Q109" s="450" t="s">
        <v>361</v>
      </c>
      <c r="R109" s="450"/>
      <c r="S109" t="s">
        <v>366</v>
      </c>
    </row>
    <row r="110" spans="16:20" x14ac:dyDescent="0.25">
      <c r="Q110" t="s">
        <v>364</v>
      </c>
      <c r="R110" t="s">
        <v>365</v>
      </c>
      <c r="S110" t="s">
        <v>364</v>
      </c>
      <c r="T110" t="s">
        <v>365</v>
      </c>
    </row>
    <row r="111" spans="16:20" x14ac:dyDescent="0.25">
      <c r="P111" t="s">
        <v>367</v>
      </c>
      <c r="Q111">
        <v>52</v>
      </c>
      <c r="R111">
        <v>15.9</v>
      </c>
      <c r="S111">
        <v>93</v>
      </c>
      <c r="T111">
        <v>63.5</v>
      </c>
    </row>
    <row r="112" spans="16:20" x14ac:dyDescent="0.25">
      <c r="P112" t="s">
        <v>362</v>
      </c>
      <c r="Q112">
        <v>10</v>
      </c>
      <c r="R112">
        <v>6.6</v>
      </c>
    </row>
    <row r="113" spans="16:20" x14ac:dyDescent="0.25">
      <c r="P113" t="s">
        <v>363</v>
      </c>
      <c r="Q113">
        <v>29</v>
      </c>
      <c r="R113">
        <v>4.2</v>
      </c>
      <c r="S113">
        <v>35</v>
      </c>
      <c r="T113">
        <v>30.1</v>
      </c>
    </row>
    <row r="114" spans="16:20" x14ac:dyDescent="0.25">
      <c r="Q114" s="4">
        <f>SUM(Q111:Q113)</f>
        <v>91</v>
      </c>
      <c r="R114" s="4">
        <f t="shared" ref="R114" si="17">SUM(R111:R113)</f>
        <v>26.7</v>
      </c>
      <c r="S114" s="4">
        <f>SUM(S111:S113)</f>
        <v>128</v>
      </c>
      <c r="T114" s="4">
        <f>SUM(T111:T113)</f>
        <v>93.6</v>
      </c>
    </row>
    <row r="115" spans="16:20" x14ac:dyDescent="0.25">
      <c r="P115" t="s">
        <v>369</v>
      </c>
      <c r="R115">
        <f>85.2/26%</f>
        <v>327.69230769230768</v>
      </c>
      <c r="T115">
        <f>30.1+63.5+125.12+737.4</f>
        <v>956.12</v>
      </c>
    </row>
    <row r="117" spans="16:20" x14ac:dyDescent="0.25">
      <c r="P117" t="s">
        <v>368</v>
      </c>
      <c r="Q117">
        <f>Q114+S114</f>
        <v>219</v>
      </c>
    </row>
    <row r="118" spans="16:20" x14ac:dyDescent="0.25">
      <c r="P118" t="s">
        <v>365</v>
      </c>
      <c r="Q118">
        <f>R114+T114</f>
        <v>120.3</v>
      </c>
    </row>
    <row r="140" spans="2:17" x14ac:dyDescent="0.25">
      <c r="B140" s="453" t="s">
        <v>413</v>
      </c>
      <c r="C140" s="453"/>
      <c r="D140" s="453"/>
      <c r="E140" s="453"/>
    </row>
    <row r="141" spans="2:17" ht="15.75" thickBot="1" x14ac:dyDescent="0.3">
      <c r="K141" t="s">
        <v>414</v>
      </c>
    </row>
    <row r="142" spans="2:17" ht="45" x14ac:dyDescent="0.25">
      <c r="B142" s="369" t="s">
        <v>415</v>
      </c>
      <c r="C142" s="370" t="s">
        <v>314</v>
      </c>
      <c r="D142" s="371" t="s">
        <v>416</v>
      </c>
      <c r="E142" s="369" t="s">
        <v>417</v>
      </c>
      <c r="H142" s="2" t="str">
        <f>C142</f>
        <v>CANTIDAD DE CRÉDITOS</v>
      </c>
      <c r="I142" s="2" t="str">
        <f>D142</f>
        <v>MONTO DESEMBOLSADO</v>
      </c>
      <c r="J142" s="2"/>
      <c r="K142" s="2" t="str">
        <f>H142</f>
        <v>CANTIDAD DE CRÉDITOS</v>
      </c>
      <c r="L142" s="2" t="str">
        <f>I142</f>
        <v>MONTO DESEMBOLSADO</v>
      </c>
      <c r="M142" t="s">
        <v>417</v>
      </c>
      <c r="P142" s="4" t="s">
        <v>418</v>
      </c>
      <c r="Q142" s="4" t="s">
        <v>419</v>
      </c>
    </row>
    <row r="143" spans="2:17" ht="16.5" thickBot="1" x14ac:dyDescent="0.3">
      <c r="B143" s="372" t="s">
        <v>420</v>
      </c>
      <c r="C143" s="373">
        <v>170</v>
      </c>
      <c r="D143" s="374">
        <v>90.6</v>
      </c>
      <c r="E143" s="375">
        <v>0.27400000000000002</v>
      </c>
      <c r="G143" s="4" t="str">
        <f>B143</f>
        <v>FEMENINO</v>
      </c>
      <c r="H143" s="376">
        <f t="shared" ref="H143:I154" si="18">C143</f>
        <v>170</v>
      </c>
      <c r="I143" s="322">
        <f t="shared" si="18"/>
        <v>90.6</v>
      </c>
      <c r="J143" s="322"/>
      <c r="K143" s="377">
        <f>H143+H165</f>
        <v>1577</v>
      </c>
      <c r="L143" s="322">
        <f t="shared" ref="L143:L154" si="19">I143+I165</f>
        <v>1445.5</v>
      </c>
      <c r="M143" s="378">
        <f>L143/Q143</f>
        <v>0.35493727343807757</v>
      </c>
      <c r="O143" t="s">
        <v>421</v>
      </c>
      <c r="P143" s="379">
        <f>SUM(P144:P146)</f>
        <v>4501</v>
      </c>
      <c r="Q143" s="231">
        <f>SUM(Q144:Q146)</f>
        <v>4072.5505833699999</v>
      </c>
    </row>
    <row r="144" spans="2:17" ht="16.5" thickBot="1" x14ac:dyDescent="0.3">
      <c r="B144" s="380" t="s">
        <v>422</v>
      </c>
      <c r="C144" s="381">
        <v>39</v>
      </c>
      <c r="D144" s="381">
        <v>10.8</v>
      </c>
      <c r="E144" s="382">
        <v>3.3000000000000002E-2</v>
      </c>
      <c r="G144" t="str">
        <f t="shared" ref="G144:G154" si="20">B144</f>
        <v>MICROCREDITO y PYME</v>
      </c>
      <c r="H144" s="376">
        <f t="shared" si="18"/>
        <v>39</v>
      </c>
      <c r="I144" s="231">
        <f t="shared" si="18"/>
        <v>10.8</v>
      </c>
      <c r="J144" s="231"/>
      <c r="K144" s="379">
        <f t="shared" ref="K144:K154" si="21">H144+H166</f>
        <v>74</v>
      </c>
      <c r="L144" s="231">
        <f t="shared" si="19"/>
        <v>40.900000000000006</v>
      </c>
      <c r="M144" s="383">
        <f t="shared" ref="M144:M146" si="22">L144/Q144</f>
        <v>0.20406677502170359</v>
      </c>
      <c r="O144" t="str">
        <f>G144</f>
        <v>MICROCREDITO y PYME</v>
      </c>
      <c r="P144" s="379">
        <f>K144+K148</f>
        <v>286</v>
      </c>
      <c r="Q144" s="231">
        <f>L144+L148</f>
        <v>200.42459139000002</v>
      </c>
    </row>
    <row r="145" spans="2:17" ht="16.5" thickBot="1" x14ac:dyDescent="0.3">
      <c r="B145" s="380" t="s">
        <v>423</v>
      </c>
      <c r="C145" s="381">
        <v>52</v>
      </c>
      <c r="D145" s="381">
        <v>15.9</v>
      </c>
      <c r="E145" s="382">
        <v>4.8000000000000001E-2</v>
      </c>
      <c r="G145" t="str">
        <f t="shared" si="20"/>
        <v>AGRO</v>
      </c>
      <c r="H145" s="376">
        <f t="shared" si="18"/>
        <v>52</v>
      </c>
      <c r="I145" s="231">
        <f t="shared" si="18"/>
        <v>15.9</v>
      </c>
      <c r="J145" s="231"/>
      <c r="K145" s="379">
        <f t="shared" si="21"/>
        <v>145</v>
      </c>
      <c r="L145" s="231">
        <f t="shared" si="19"/>
        <v>79.356550229999996</v>
      </c>
      <c r="M145" s="383">
        <f t="shared" si="22"/>
        <v>8.6242444516820796E-2</v>
      </c>
      <c r="O145" t="str">
        <f t="shared" ref="O145:O146" si="23">G145</f>
        <v>AGRO</v>
      </c>
      <c r="P145" s="379">
        <f t="shared" ref="P145:Q146" si="24">K145+K149</f>
        <v>1217</v>
      </c>
      <c r="Q145" s="231">
        <f t="shared" si="24"/>
        <v>920.15655022999999</v>
      </c>
    </row>
    <row r="146" spans="2:17" ht="16.5" thickBot="1" x14ac:dyDescent="0.3">
      <c r="B146" s="380" t="s">
        <v>424</v>
      </c>
      <c r="C146" s="381">
        <v>79</v>
      </c>
      <c r="D146" s="381">
        <v>63.9</v>
      </c>
      <c r="E146" s="382">
        <v>0.193</v>
      </c>
      <c r="G146" t="str">
        <f t="shared" si="20"/>
        <v>VIVIENDA y OTROS</v>
      </c>
      <c r="H146" s="376">
        <f t="shared" si="18"/>
        <v>79</v>
      </c>
      <c r="I146" s="231">
        <f t="shared" si="18"/>
        <v>63.9</v>
      </c>
      <c r="J146" s="231"/>
      <c r="K146" s="379">
        <f t="shared" si="21"/>
        <v>1358</v>
      </c>
      <c r="L146" s="231">
        <f t="shared" si="19"/>
        <v>1325.2</v>
      </c>
      <c r="M146" s="383">
        <f t="shared" si="22"/>
        <v>0.44892063625644746</v>
      </c>
      <c r="O146" t="str">
        <f t="shared" si="23"/>
        <v>VIVIENDA y OTROS</v>
      </c>
      <c r="P146" s="379">
        <f t="shared" si="24"/>
        <v>2998</v>
      </c>
      <c r="Q146" s="231">
        <f t="shared" si="24"/>
        <v>2951.96944175</v>
      </c>
    </row>
    <row r="147" spans="2:17" ht="15.75" thickBot="1" x14ac:dyDescent="0.3">
      <c r="B147" s="384" t="s">
        <v>324</v>
      </c>
      <c r="C147" s="385">
        <v>399</v>
      </c>
      <c r="D147" s="386">
        <v>181.7</v>
      </c>
      <c r="E147" s="387">
        <v>0.55000000000000004</v>
      </c>
      <c r="G147" s="4" t="str">
        <f t="shared" si="20"/>
        <v>MASCULINO</v>
      </c>
      <c r="H147" s="376">
        <f t="shared" si="18"/>
        <v>399</v>
      </c>
      <c r="I147" s="322">
        <f t="shared" si="18"/>
        <v>181.7</v>
      </c>
      <c r="J147" s="322"/>
      <c r="K147" s="377">
        <f t="shared" si="21"/>
        <v>2924</v>
      </c>
      <c r="L147" s="322">
        <f t="shared" si="19"/>
        <v>2627</v>
      </c>
      <c r="M147" s="378">
        <f>L147/Q143</f>
        <v>0.64505030599919044</v>
      </c>
    </row>
    <row r="148" spans="2:17" ht="15.75" thickBot="1" x14ac:dyDescent="0.3">
      <c r="B148" s="380" t="s">
        <v>422</v>
      </c>
      <c r="C148" s="388">
        <v>62</v>
      </c>
      <c r="D148" s="388">
        <v>34.4</v>
      </c>
      <c r="E148" s="389">
        <v>0.104</v>
      </c>
      <c r="G148" t="str">
        <f t="shared" si="20"/>
        <v>MICROCREDITO y PYME</v>
      </c>
      <c r="H148" s="376">
        <f t="shared" si="18"/>
        <v>62</v>
      </c>
      <c r="I148" s="231">
        <f t="shared" si="18"/>
        <v>34.4</v>
      </c>
      <c r="J148" s="231"/>
      <c r="K148" s="379">
        <f t="shared" si="21"/>
        <v>212</v>
      </c>
      <c r="L148" s="231">
        <f t="shared" si="19"/>
        <v>159.52459139000001</v>
      </c>
      <c r="M148" s="383">
        <f t="shared" ref="M148:M150" si="25">L148/Q144</f>
        <v>0.79593322497829644</v>
      </c>
    </row>
    <row r="149" spans="2:17" ht="15.75" thickBot="1" x14ac:dyDescent="0.3">
      <c r="B149" s="380" t="s">
        <v>423</v>
      </c>
      <c r="C149" s="390">
        <v>278</v>
      </c>
      <c r="D149" s="388">
        <v>103.4</v>
      </c>
      <c r="E149" s="389">
        <v>0.313</v>
      </c>
      <c r="G149" t="str">
        <f t="shared" si="20"/>
        <v>AGRO</v>
      </c>
      <c r="H149" s="376">
        <f t="shared" si="18"/>
        <v>278</v>
      </c>
      <c r="I149" s="231">
        <f t="shared" si="18"/>
        <v>103.4</v>
      </c>
      <c r="J149" s="231"/>
      <c r="K149" s="379">
        <f t="shared" si="21"/>
        <v>1072</v>
      </c>
      <c r="L149" s="231">
        <f t="shared" si="19"/>
        <v>840.8</v>
      </c>
      <c r="M149" s="383">
        <f t="shared" si="25"/>
        <v>0.91375755548317916</v>
      </c>
    </row>
    <row r="150" spans="2:17" ht="15.75" thickBot="1" x14ac:dyDescent="0.3">
      <c r="B150" s="380" t="s">
        <v>424</v>
      </c>
      <c r="C150" s="388">
        <v>59</v>
      </c>
      <c r="D150" s="388">
        <v>44</v>
      </c>
      <c r="E150" s="389">
        <v>0.13300000000000001</v>
      </c>
      <c r="G150" t="str">
        <f t="shared" si="20"/>
        <v>VIVIENDA y OTROS</v>
      </c>
      <c r="H150" s="376">
        <f t="shared" si="18"/>
        <v>59</v>
      </c>
      <c r="I150" s="231">
        <f t="shared" si="18"/>
        <v>44</v>
      </c>
      <c r="J150" s="231"/>
      <c r="K150" s="379">
        <f t="shared" si="21"/>
        <v>1640</v>
      </c>
      <c r="L150" s="231">
        <f t="shared" si="19"/>
        <v>1626.7694417499999</v>
      </c>
      <c r="M150" s="383">
        <f t="shared" si="25"/>
        <v>0.55107936374355249</v>
      </c>
    </row>
    <row r="151" spans="2:17" ht="15.75" thickBot="1" x14ac:dyDescent="0.3">
      <c r="B151" s="391" t="s">
        <v>327</v>
      </c>
      <c r="C151" s="392">
        <v>44</v>
      </c>
      <c r="D151" s="392">
        <v>57.9</v>
      </c>
      <c r="E151" s="393">
        <v>0.17499999999999999</v>
      </c>
      <c r="G151" s="4" t="str">
        <f t="shared" si="20"/>
        <v>PERSONA JURIDICA</v>
      </c>
      <c r="H151" s="376">
        <f t="shared" si="18"/>
        <v>44</v>
      </c>
      <c r="I151" s="322">
        <f t="shared" si="18"/>
        <v>57.9</v>
      </c>
      <c r="J151" s="322"/>
      <c r="K151" s="377">
        <f t="shared" si="21"/>
        <v>396</v>
      </c>
      <c r="L151" s="322">
        <f t="shared" si="19"/>
        <v>3216</v>
      </c>
    </row>
    <row r="152" spans="2:17" ht="15.75" thickBot="1" x14ac:dyDescent="0.3">
      <c r="B152" s="380" t="s">
        <v>320</v>
      </c>
      <c r="C152" s="388">
        <v>4</v>
      </c>
      <c r="D152" s="388">
        <v>0.8</v>
      </c>
      <c r="E152" s="389">
        <v>2E-3</v>
      </c>
      <c r="G152" t="str">
        <f t="shared" si="20"/>
        <v>MICROCREDITO</v>
      </c>
      <c r="H152" s="376">
        <f t="shared" si="18"/>
        <v>4</v>
      </c>
      <c r="I152" s="231">
        <f t="shared" si="18"/>
        <v>0.8</v>
      </c>
      <c r="J152" s="231"/>
      <c r="K152" s="379">
        <f t="shared" si="21"/>
        <v>87</v>
      </c>
      <c r="L152" s="231">
        <f t="shared" si="19"/>
        <v>947.5</v>
      </c>
    </row>
    <row r="153" spans="2:17" ht="15.75" thickBot="1" x14ac:dyDescent="0.3">
      <c r="B153" s="380" t="s">
        <v>423</v>
      </c>
      <c r="C153" s="388">
        <v>8</v>
      </c>
      <c r="D153" s="388">
        <v>17.2</v>
      </c>
      <c r="E153" s="389">
        <v>5.1999999999999998E-2</v>
      </c>
      <c r="G153" t="str">
        <f t="shared" si="20"/>
        <v>AGRO</v>
      </c>
      <c r="H153" s="376">
        <f t="shared" si="18"/>
        <v>8</v>
      </c>
      <c r="I153" s="231">
        <f t="shared" si="18"/>
        <v>17.2</v>
      </c>
      <c r="J153" s="231"/>
      <c r="K153" s="379">
        <f t="shared" si="21"/>
        <v>243</v>
      </c>
      <c r="L153" s="231">
        <f t="shared" si="19"/>
        <v>2101.8999999999996</v>
      </c>
    </row>
    <row r="154" spans="2:17" ht="15.75" thickBot="1" x14ac:dyDescent="0.3">
      <c r="B154" s="380" t="s">
        <v>362</v>
      </c>
      <c r="C154" s="388">
        <v>32</v>
      </c>
      <c r="D154" s="388">
        <v>39.9</v>
      </c>
      <c r="E154" s="389">
        <v>0.121</v>
      </c>
      <c r="G154" t="str">
        <f t="shared" si="20"/>
        <v>PYME</v>
      </c>
      <c r="H154" s="376">
        <f t="shared" si="18"/>
        <v>32</v>
      </c>
      <c r="I154" s="231">
        <f t="shared" si="18"/>
        <v>39.9</v>
      </c>
      <c r="J154" s="231"/>
      <c r="K154" s="379">
        <f t="shared" si="21"/>
        <v>66</v>
      </c>
      <c r="L154" s="231">
        <f t="shared" si="19"/>
        <v>166.54633343999998</v>
      </c>
    </row>
    <row r="155" spans="2:17" ht="38.25" thickBot="1" x14ac:dyDescent="0.3">
      <c r="B155" s="394" t="s">
        <v>425</v>
      </c>
      <c r="C155" s="395">
        <v>613</v>
      </c>
      <c r="D155" s="396" t="s">
        <v>426</v>
      </c>
      <c r="E155" s="397">
        <v>1</v>
      </c>
    </row>
    <row r="162" spans="2:10" x14ac:dyDescent="0.25">
      <c r="B162" s="453" t="s">
        <v>427</v>
      </c>
      <c r="C162" s="453"/>
      <c r="D162" s="453"/>
      <c r="E162" s="453"/>
    </row>
    <row r="164" spans="2:10" ht="45.75" thickBot="1" x14ac:dyDescent="0.3">
      <c r="B164" s="398" t="s">
        <v>415</v>
      </c>
      <c r="C164" s="399" t="s">
        <v>314</v>
      </c>
      <c r="D164" s="400" t="s">
        <v>416</v>
      </c>
      <c r="E164" s="399" t="s">
        <v>417</v>
      </c>
      <c r="H164" s="2" t="str">
        <f>C164</f>
        <v>CANTIDAD DE CRÉDITOS</v>
      </c>
      <c r="I164" s="2" t="str">
        <f t="shared" ref="I164:I175" si="26">D164</f>
        <v>MONTO DESEMBOLSADO</v>
      </c>
      <c r="J164" s="2"/>
    </row>
    <row r="165" spans="2:10" ht="16.5" thickBot="1" x14ac:dyDescent="0.3">
      <c r="B165" s="372" t="s">
        <v>420</v>
      </c>
      <c r="C165" s="401">
        <v>1407</v>
      </c>
      <c r="D165" s="402">
        <v>1354.9</v>
      </c>
      <c r="E165" s="375">
        <v>0.19470000000000001</v>
      </c>
      <c r="G165" s="4" t="str">
        <f t="shared" ref="G165:H176" si="27">B165</f>
        <v>FEMENINO</v>
      </c>
      <c r="H165" s="376">
        <f t="shared" si="27"/>
        <v>1407</v>
      </c>
      <c r="I165" s="322">
        <f t="shared" si="26"/>
        <v>1354.9</v>
      </c>
      <c r="J165" s="322"/>
    </row>
    <row r="166" spans="2:10" ht="16.5" thickBot="1" x14ac:dyDescent="0.3">
      <c r="B166" s="380" t="s">
        <v>320</v>
      </c>
      <c r="C166" s="381">
        <v>35</v>
      </c>
      <c r="D166" s="381">
        <v>30.1</v>
      </c>
      <c r="E166" s="382">
        <v>4.3E-3</v>
      </c>
      <c r="G166" t="str">
        <f t="shared" si="27"/>
        <v>MICROCREDITO</v>
      </c>
      <c r="H166" s="376">
        <f t="shared" si="27"/>
        <v>35</v>
      </c>
      <c r="I166" s="231">
        <f t="shared" si="26"/>
        <v>30.1</v>
      </c>
      <c r="J166" s="231"/>
    </row>
    <row r="167" spans="2:10" ht="16.5" thickBot="1" x14ac:dyDescent="0.3">
      <c r="B167" s="380" t="s">
        <v>321</v>
      </c>
      <c r="C167" s="381">
        <v>93</v>
      </c>
      <c r="D167" s="403">
        <v>63456550.229999997</v>
      </c>
      <c r="E167" s="382">
        <v>9.1000000000000004E-3</v>
      </c>
      <c r="G167" t="str">
        <f t="shared" si="27"/>
        <v>PRODUCCION</v>
      </c>
      <c r="H167" s="376">
        <f t="shared" si="27"/>
        <v>93</v>
      </c>
      <c r="I167" s="231">
        <f>D167/1000000</f>
        <v>63.456550229999998</v>
      </c>
      <c r="J167" s="231"/>
    </row>
    <row r="168" spans="2:10" ht="16.5" thickBot="1" x14ac:dyDescent="0.3">
      <c r="B168" s="380" t="s">
        <v>323</v>
      </c>
      <c r="C168" s="404">
        <v>1279</v>
      </c>
      <c r="D168" s="403">
        <v>1261.3</v>
      </c>
      <c r="E168" s="382">
        <v>0.18129999999999999</v>
      </c>
      <c r="G168" t="str">
        <f t="shared" si="27"/>
        <v>VIVIENDA</v>
      </c>
      <c r="H168" s="376">
        <f t="shared" si="27"/>
        <v>1279</v>
      </c>
      <c r="I168" s="231">
        <f t="shared" si="26"/>
        <v>1261.3</v>
      </c>
      <c r="J168" s="231"/>
    </row>
    <row r="169" spans="2:10" ht="15.75" thickBot="1" x14ac:dyDescent="0.3">
      <c r="B169" s="384" t="s">
        <v>324</v>
      </c>
      <c r="C169" s="405">
        <v>2525</v>
      </c>
      <c r="D169" s="406">
        <v>2445.3000000000002</v>
      </c>
      <c r="E169" s="387">
        <v>0.35139999999999999</v>
      </c>
      <c r="G169" s="4" t="str">
        <f t="shared" si="27"/>
        <v>MASCULINO</v>
      </c>
      <c r="H169" s="376">
        <f t="shared" si="27"/>
        <v>2525</v>
      </c>
      <c r="I169" s="322">
        <f t="shared" si="26"/>
        <v>2445.3000000000002</v>
      </c>
      <c r="J169" s="322"/>
    </row>
    <row r="170" spans="2:10" ht="15.75" thickBot="1" x14ac:dyDescent="0.3">
      <c r="B170" s="380" t="s">
        <v>320</v>
      </c>
      <c r="C170" s="388">
        <v>150</v>
      </c>
      <c r="D170" s="407">
        <v>125124591.39</v>
      </c>
      <c r="E170" s="389">
        <v>1.7999999999999999E-2</v>
      </c>
      <c r="G170" t="str">
        <f t="shared" si="27"/>
        <v>MICROCREDITO</v>
      </c>
      <c r="H170" s="376">
        <f t="shared" si="27"/>
        <v>150</v>
      </c>
      <c r="I170" s="231">
        <f>D170/1000000</f>
        <v>125.12459139000001</v>
      </c>
      <c r="J170" s="231"/>
    </row>
    <row r="171" spans="2:10" ht="15.75" thickBot="1" x14ac:dyDescent="0.3">
      <c r="B171" s="380" t="s">
        <v>321</v>
      </c>
      <c r="C171" s="388">
        <v>794</v>
      </c>
      <c r="D171" s="388">
        <v>737.4</v>
      </c>
      <c r="E171" s="389">
        <v>0.106</v>
      </c>
      <c r="G171" t="str">
        <f t="shared" si="27"/>
        <v>PRODUCCION</v>
      </c>
      <c r="H171" s="376">
        <f t="shared" si="27"/>
        <v>794</v>
      </c>
      <c r="I171" s="231">
        <f t="shared" si="26"/>
        <v>737.4</v>
      </c>
      <c r="J171" s="231"/>
    </row>
    <row r="172" spans="2:10" ht="15.75" thickBot="1" x14ac:dyDescent="0.3">
      <c r="B172" s="380" t="s">
        <v>323</v>
      </c>
      <c r="C172" s="408">
        <v>1581</v>
      </c>
      <c r="D172" s="407">
        <v>1582769441.75</v>
      </c>
      <c r="E172" s="389">
        <v>0.22750000000000001</v>
      </c>
      <c r="G172" t="str">
        <f t="shared" si="27"/>
        <v>VIVIENDA</v>
      </c>
      <c r="H172" s="376">
        <f t="shared" si="27"/>
        <v>1581</v>
      </c>
      <c r="I172" s="231">
        <f>D172/1000000</f>
        <v>1582.7694417499999</v>
      </c>
      <c r="J172" s="231"/>
    </row>
    <row r="173" spans="2:10" ht="15.75" thickBot="1" x14ac:dyDescent="0.3">
      <c r="B173" s="391" t="s">
        <v>327</v>
      </c>
      <c r="C173" s="392">
        <v>352</v>
      </c>
      <c r="D173" s="409">
        <v>3158.1</v>
      </c>
      <c r="E173" s="393">
        <v>0.45390000000000003</v>
      </c>
      <c r="G173" s="4" t="str">
        <f t="shared" si="27"/>
        <v>PERSONA JURIDICA</v>
      </c>
      <c r="H173" s="376">
        <f t="shared" si="27"/>
        <v>352</v>
      </c>
      <c r="I173" s="322">
        <f t="shared" si="26"/>
        <v>3158.1</v>
      </c>
      <c r="J173" s="322"/>
    </row>
    <row r="174" spans="2:10" ht="15.75" thickBot="1" x14ac:dyDescent="0.3">
      <c r="B174" s="380" t="s">
        <v>320</v>
      </c>
      <c r="C174" s="388">
        <v>83</v>
      </c>
      <c r="D174" s="388">
        <v>946.7</v>
      </c>
      <c r="E174" s="389">
        <v>0.1361</v>
      </c>
      <c r="G174" t="str">
        <f t="shared" si="27"/>
        <v>MICROCREDITO</v>
      </c>
      <c r="H174" s="376">
        <f t="shared" si="27"/>
        <v>83</v>
      </c>
      <c r="I174" s="231">
        <f t="shared" si="26"/>
        <v>946.7</v>
      </c>
      <c r="J174" s="231"/>
    </row>
    <row r="175" spans="2:10" ht="15.75" thickBot="1" x14ac:dyDescent="0.3">
      <c r="B175" s="380" t="s">
        <v>321</v>
      </c>
      <c r="C175" s="388">
        <v>235</v>
      </c>
      <c r="D175" s="407">
        <v>2084.6999999999998</v>
      </c>
      <c r="E175" s="389">
        <v>0.29959999999999998</v>
      </c>
      <c r="G175" t="str">
        <f t="shared" si="27"/>
        <v>PRODUCCION</v>
      </c>
      <c r="H175" s="376">
        <f t="shared" si="27"/>
        <v>235</v>
      </c>
      <c r="I175" s="231">
        <f t="shared" si="26"/>
        <v>2084.6999999999998</v>
      </c>
      <c r="J175" s="231"/>
    </row>
    <row r="176" spans="2:10" ht="15.75" thickBot="1" x14ac:dyDescent="0.3">
      <c r="B176" s="380" t="s">
        <v>323</v>
      </c>
      <c r="C176" s="388">
        <v>34</v>
      </c>
      <c r="D176" s="407">
        <v>126646333.44</v>
      </c>
      <c r="E176" s="389">
        <v>1.8200000000000001E-2</v>
      </c>
      <c r="G176" t="str">
        <f t="shared" si="27"/>
        <v>VIVIENDA</v>
      </c>
      <c r="H176" s="376">
        <f t="shared" si="27"/>
        <v>34</v>
      </c>
      <c r="I176" s="231">
        <f>D176/1000000</f>
        <v>126.64633343999999</v>
      </c>
      <c r="J176" s="231"/>
    </row>
    <row r="177" spans="2:5" ht="18.75" x14ac:dyDescent="0.25">
      <c r="B177" s="454" t="s">
        <v>425</v>
      </c>
      <c r="C177" s="456">
        <v>4284</v>
      </c>
      <c r="D177" s="410">
        <v>6958.2</v>
      </c>
      <c r="E177" s="458">
        <v>1</v>
      </c>
    </row>
    <row r="178" spans="2:5" ht="19.5" thickBot="1" x14ac:dyDescent="0.3">
      <c r="B178" s="455"/>
      <c r="C178" s="457"/>
      <c r="D178" s="411" t="s">
        <v>428</v>
      </c>
      <c r="E178" s="459"/>
    </row>
  </sheetData>
  <mergeCells count="12">
    <mergeCell ref="B140:E140"/>
    <mergeCell ref="B162:E162"/>
    <mergeCell ref="B177:B178"/>
    <mergeCell ref="C177:C178"/>
    <mergeCell ref="E177:E178"/>
    <mergeCell ref="Q109:R109"/>
    <mergeCell ref="D2:F2"/>
    <mergeCell ref="B34:G34"/>
    <mergeCell ref="A11:A12"/>
    <mergeCell ref="A13:A14"/>
    <mergeCell ref="A40:B43"/>
    <mergeCell ref="A16:B30"/>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
  <sheetViews>
    <sheetView workbookViewId="0">
      <selection activeCell="M1" sqref="M1"/>
    </sheetView>
  </sheetViews>
  <sheetFormatPr baseColWidth="10" defaultColWidth="8.85546875" defaultRowHeight="15" x14ac:dyDescent="0.25"/>
  <cols>
    <col min="1" max="1" width="3.7109375" customWidth="1"/>
    <col min="2" max="2" width="26.28515625" customWidth="1"/>
    <col min="3" max="3" width="11.5703125" customWidth="1"/>
    <col min="4" max="4" width="24.85546875" customWidth="1"/>
    <col min="5" max="5" width="5" customWidth="1"/>
    <col min="6" max="6" width="7.85546875" customWidth="1"/>
    <col min="7" max="7" width="13.42578125" customWidth="1"/>
    <col min="8" max="8" width="11.28515625" customWidth="1"/>
    <col min="9" max="9" width="15.140625" customWidth="1"/>
    <col min="10" max="10" width="12.140625" customWidth="1"/>
    <col min="11" max="11" width="8.85546875" customWidth="1"/>
    <col min="12" max="12" width="6" customWidth="1"/>
    <col min="13" max="13" width="11.5703125" customWidth="1"/>
    <col min="14" max="14" width="7.5703125" bestFit="1" customWidth="1"/>
    <col min="15" max="15" width="12.5703125" bestFit="1" customWidth="1"/>
    <col min="16" max="16" width="12" customWidth="1"/>
    <col min="17" max="17" width="6.85546875" customWidth="1"/>
    <col min="18" max="18" width="7" customWidth="1"/>
    <col min="19" max="19" width="12.28515625" customWidth="1"/>
    <col min="20" max="20" width="5.5703125" bestFit="1" customWidth="1"/>
    <col min="21" max="21" width="6.42578125" customWidth="1"/>
  </cols>
  <sheetData>
    <row r="1" spans="2:21" x14ac:dyDescent="0.25">
      <c r="B1" t="s">
        <v>0</v>
      </c>
    </row>
    <row r="2" spans="2:21" ht="15.75" thickBot="1" x14ac:dyDescent="0.3">
      <c r="E2" s="432" t="s">
        <v>10</v>
      </c>
      <c r="F2" s="432"/>
      <c r="G2" s="432"/>
      <c r="H2" s="432"/>
      <c r="I2" s="432"/>
    </row>
    <row r="3" spans="2:21" ht="30" x14ac:dyDescent="0.25">
      <c r="B3" t="s">
        <v>117</v>
      </c>
      <c r="C3" t="s">
        <v>3</v>
      </c>
      <c r="D3" t="s">
        <v>4</v>
      </c>
      <c r="E3" s="3"/>
      <c r="F3" s="3"/>
      <c r="G3" s="3"/>
      <c r="H3" s="3" t="s">
        <v>8</v>
      </c>
      <c r="I3" s="3" t="s">
        <v>121</v>
      </c>
      <c r="J3" s="176" t="s">
        <v>11</v>
      </c>
      <c r="K3" s="177" t="s">
        <v>18</v>
      </c>
      <c r="L3" s="178" t="s">
        <v>25</v>
      </c>
      <c r="M3" s="176" t="s">
        <v>12</v>
      </c>
      <c r="N3" s="177" t="s">
        <v>19</v>
      </c>
      <c r="O3" s="178" t="s">
        <v>25</v>
      </c>
      <c r="P3" s="176" t="s">
        <v>12</v>
      </c>
      <c r="Q3" s="177" t="s">
        <v>29</v>
      </c>
      <c r="R3" s="178" t="s">
        <v>25</v>
      </c>
      <c r="S3" s="176" t="s">
        <v>12</v>
      </c>
      <c r="T3" s="177" t="s">
        <v>59</v>
      </c>
      <c r="U3" s="178" t="s">
        <v>25</v>
      </c>
    </row>
    <row r="4" spans="2:21" ht="84.75" customHeight="1" x14ac:dyDescent="0.25">
      <c r="B4" s="159" t="s">
        <v>118</v>
      </c>
      <c r="C4" s="40" t="s">
        <v>119</v>
      </c>
      <c r="D4" t="s">
        <v>120</v>
      </c>
      <c r="E4" s="5"/>
      <c r="F4" s="6"/>
      <c r="G4" s="6"/>
      <c r="H4" s="5">
        <v>2018</v>
      </c>
      <c r="I4" s="6">
        <f>+E4-(F4+G4)</f>
        <v>0</v>
      </c>
      <c r="J4" s="147">
        <f>I4</f>
        <v>0</v>
      </c>
      <c r="K4" s="150">
        <v>2</v>
      </c>
      <c r="L4" s="148"/>
      <c r="M4" s="156"/>
      <c r="N4" s="150">
        <v>7</v>
      </c>
      <c r="O4" s="148"/>
      <c r="P4" s="156"/>
      <c r="Q4" s="150">
        <v>8</v>
      </c>
      <c r="R4" s="148"/>
      <c r="S4" s="156"/>
      <c r="T4" s="150">
        <v>17</v>
      </c>
      <c r="U4" s="148"/>
    </row>
    <row r="5" spans="2:21" ht="45" x14ac:dyDescent="0.25">
      <c r="C5" s="175" t="s">
        <v>17</v>
      </c>
      <c r="D5" t="s">
        <v>37</v>
      </c>
      <c r="J5" s="152">
        <v>1</v>
      </c>
      <c r="K5" s="151">
        <f>(J5*100)/$K$4</f>
        <v>50</v>
      </c>
      <c r="L5" s="148">
        <f>IF(K5&lt;50,0,IF(K5&gt;=100,100,IF(K5&gt;=50,K5,)))</f>
        <v>50</v>
      </c>
      <c r="M5" s="199">
        <v>4</v>
      </c>
      <c r="N5" s="200">
        <f>(M5*100)/$N$4</f>
        <v>57.142857142857146</v>
      </c>
      <c r="O5" s="201">
        <f>IF(N5&lt;50,0,IF(N5&gt;=100,100,IF(N5&gt;=50,N5,)))</f>
        <v>57.142857142857146</v>
      </c>
      <c r="P5" s="152">
        <v>5</v>
      </c>
      <c r="Q5" s="151">
        <f>(P5*100)/$Q$4</f>
        <v>62.5</v>
      </c>
      <c r="R5" s="148">
        <f>IF(Q5&lt;50,0,IF(Q5&gt;=100,100,IF(Q5&gt;=50,Q5,)))</f>
        <v>62.5</v>
      </c>
      <c r="S5" s="152">
        <v>8</v>
      </c>
      <c r="T5" s="151">
        <f>(S5*100)/$T$4</f>
        <v>47.058823529411768</v>
      </c>
      <c r="U5" s="157">
        <f>IF(T5&lt;50,0,IF(T5&gt;=100,100,IF(T5&gt;=50,T5,)))</f>
        <v>0</v>
      </c>
    </row>
    <row r="6" spans="2:21" x14ac:dyDescent="0.25">
      <c r="C6" s="8"/>
      <c r="D6" t="s">
        <v>38</v>
      </c>
      <c r="J6" s="152">
        <v>1</v>
      </c>
      <c r="K6" s="151">
        <f t="shared" ref="K6:K8" si="0">(J6*100)/$K$4</f>
        <v>50</v>
      </c>
      <c r="L6" s="148">
        <f t="shared" ref="L6:L8" si="1">IF(K6&lt;50,0,IF(K6&gt;=100,100,IF(K6&gt;=50,K6,)))</f>
        <v>50</v>
      </c>
      <c r="M6" s="199">
        <v>5</v>
      </c>
      <c r="N6" s="200">
        <f t="shared" ref="N6:N9" si="2">(M6*100)/$N$4</f>
        <v>71.428571428571431</v>
      </c>
      <c r="O6" s="201">
        <f t="shared" ref="O6:O9" si="3">IF(N6&lt;50,0,IF(N6&gt;=100,100,IF(N6&gt;=50,N6,)))</f>
        <v>71.428571428571431</v>
      </c>
      <c r="P6" s="152">
        <v>5</v>
      </c>
      <c r="Q6" s="151">
        <f t="shared" ref="Q6:Q8" si="4">(P6*100)/$Q$4</f>
        <v>62.5</v>
      </c>
      <c r="R6" s="148">
        <f t="shared" ref="R6:R8" si="5">IF(Q6&lt;50,0,IF(Q6&gt;=100,100,IF(Q6&gt;=50,Q6,)))</f>
        <v>62.5</v>
      </c>
      <c r="S6" s="152">
        <v>9</v>
      </c>
      <c r="T6" s="151">
        <f t="shared" ref="T6:T8" si="6">(S6*100)/$T$4</f>
        <v>52.941176470588232</v>
      </c>
      <c r="U6" s="157">
        <f t="shared" ref="U6:U8" si="7">IF(T6&lt;50,0,IF(T6&gt;=100,100,IF(T6&gt;=50,T6,)))</f>
        <v>52.941176470588232</v>
      </c>
    </row>
    <row r="7" spans="2:21" x14ac:dyDescent="0.25">
      <c r="C7" s="8"/>
      <c r="D7" t="s">
        <v>40</v>
      </c>
      <c r="J7" s="152">
        <v>2</v>
      </c>
      <c r="K7" s="151">
        <f t="shared" si="0"/>
        <v>100</v>
      </c>
      <c r="L7" s="148">
        <f t="shared" si="1"/>
        <v>100</v>
      </c>
      <c r="M7" s="199">
        <v>6</v>
      </c>
      <c r="N7" s="200">
        <f t="shared" si="2"/>
        <v>85.714285714285708</v>
      </c>
      <c r="O7" s="201">
        <f t="shared" si="3"/>
        <v>85.714285714285708</v>
      </c>
      <c r="P7" s="152">
        <v>6</v>
      </c>
      <c r="Q7" s="151">
        <f t="shared" si="4"/>
        <v>75</v>
      </c>
      <c r="R7" s="148">
        <f t="shared" si="5"/>
        <v>75</v>
      </c>
      <c r="S7" s="152">
        <v>11</v>
      </c>
      <c r="T7" s="151">
        <f t="shared" si="6"/>
        <v>64.705882352941174</v>
      </c>
      <c r="U7" s="157">
        <f t="shared" si="7"/>
        <v>64.705882352941174</v>
      </c>
    </row>
    <row r="8" spans="2:21" ht="19.5" customHeight="1" thickBot="1" x14ac:dyDescent="0.3">
      <c r="D8" t="s">
        <v>39</v>
      </c>
      <c r="J8" s="153">
        <v>2</v>
      </c>
      <c r="K8" s="154">
        <f t="shared" si="0"/>
        <v>100</v>
      </c>
      <c r="L8" s="155">
        <f t="shared" si="1"/>
        <v>100</v>
      </c>
      <c r="M8" s="202">
        <v>7</v>
      </c>
      <c r="N8" s="203">
        <f t="shared" si="2"/>
        <v>100</v>
      </c>
      <c r="O8" s="204">
        <f t="shared" si="3"/>
        <v>100</v>
      </c>
      <c r="P8" s="153">
        <v>7</v>
      </c>
      <c r="Q8" s="154">
        <f t="shared" si="4"/>
        <v>87.5</v>
      </c>
      <c r="R8" s="155">
        <f t="shared" si="5"/>
        <v>87.5</v>
      </c>
      <c r="S8" s="153">
        <v>15</v>
      </c>
      <c r="T8" s="154">
        <f t="shared" si="6"/>
        <v>88.235294117647058</v>
      </c>
      <c r="U8" s="158">
        <f t="shared" si="7"/>
        <v>88.235294117647058</v>
      </c>
    </row>
    <row r="9" spans="2:21" ht="27" thickBot="1" x14ac:dyDescent="0.45">
      <c r="C9" s="9"/>
      <c r="D9" s="192" t="s">
        <v>247</v>
      </c>
      <c r="M9" s="152">
        <f>A31</f>
        <v>7</v>
      </c>
      <c r="N9" s="151">
        <f t="shared" si="2"/>
        <v>100</v>
      </c>
      <c r="O9" s="208">
        <f t="shared" si="3"/>
        <v>100</v>
      </c>
    </row>
    <row r="10" spans="2:21" ht="11.25" customHeight="1" thickBot="1" x14ac:dyDescent="0.3">
      <c r="C10" s="9"/>
      <c r="D10" s="4"/>
    </row>
    <row r="11" spans="2:21" ht="11.25" customHeight="1" x14ac:dyDescent="0.25">
      <c r="C11" s="9"/>
      <c r="D11" s="4"/>
      <c r="K11" s="417" t="s">
        <v>337</v>
      </c>
      <c r="L11" s="418"/>
      <c r="M11" s="418"/>
      <c r="N11" s="418"/>
      <c r="O11" s="419"/>
    </row>
    <row r="12" spans="2:21" ht="11.25" customHeight="1" x14ac:dyDescent="0.25">
      <c r="C12" s="9"/>
      <c r="E12" s="27" t="s">
        <v>61</v>
      </c>
      <c r="K12" s="420"/>
      <c r="L12" s="421"/>
      <c r="M12" s="421"/>
      <c r="N12" s="421"/>
      <c r="O12" s="422"/>
    </row>
    <row r="13" spans="2:21" ht="11.25" customHeight="1" x14ac:dyDescent="0.25">
      <c r="C13" s="9"/>
      <c r="K13" s="420"/>
      <c r="L13" s="421"/>
      <c r="M13" s="421"/>
      <c r="N13" s="421"/>
      <c r="O13" s="422"/>
    </row>
    <row r="14" spans="2:21" ht="15.75" customHeight="1" x14ac:dyDescent="0.25">
      <c r="K14" s="420"/>
      <c r="L14" s="421"/>
      <c r="M14" s="421"/>
      <c r="N14" s="421"/>
      <c r="O14" s="422"/>
    </row>
    <row r="15" spans="2:21" ht="18.75" customHeight="1" x14ac:dyDescent="0.25">
      <c r="C15" s="11" t="s">
        <v>122</v>
      </c>
      <c r="K15" s="420"/>
      <c r="L15" s="421"/>
      <c r="M15" s="421"/>
      <c r="N15" s="421"/>
      <c r="O15" s="422"/>
    </row>
    <row r="16" spans="2:21" ht="24.75" customHeight="1" x14ac:dyDescent="0.25">
      <c r="C16" s="427" t="s">
        <v>28</v>
      </c>
      <c r="D16" s="427"/>
      <c r="E16" s="427"/>
      <c r="F16" s="427"/>
      <c r="G16" s="427"/>
      <c r="H16" s="427"/>
      <c r="I16" s="427"/>
      <c r="J16" s="427"/>
      <c r="K16" s="420"/>
      <c r="L16" s="421"/>
      <c r="M16" s="421"/>
      <c r="N16" s="421"/>
      <c r="O16" s="422"/>
    </row>
    <row r="17" spans="1:18" ht="24.75" customHeight="1" thickBot="1" x14ac:dyDescent="0.3">
      <c r="C17" s="191"/>
      <c r="D17" s="191"/>
      <c r="E17" s="191"/>
      <c r="F17" s="191"/>
      <c r="G17" s="191"/>
      <c r="H17" s="191"/>
      <c r="I17" s="191"/>
      <c r="J17" s="191"/>
      <c r="K17" s="420"/>
      <c r="L17" s="421"/>
      <c r="M17" s="421"/>
      <c r="N17" s="421"/>
      <c r="O17" s="422"/>
    </row>
    <row r="18" spans="1:18" ht="24.75" customHeight="1" thickBot="1" x14ac:dyDescent="0.3">
      <c r="C18" s="191"/>
      <c r="D18" s="460" t="s">
        <v>288</v>
      </c>
      <c r="E18" s="461"/>
      <c r="F18" s="461"/>
      <c r="G18" s="461"/>
      <c r="H18" s="462"/>
      <c r="I18" s="191"/>
      <c r="J18" s="191"/>
      <c r="K18" s="423"/>
      <c r="L18" s="424"/>
      <c r="M18" s="424"/>
      <c r="N18" s="424"/>
      <c r="O18" s="425"/>
    </row>
    <row r="19" spans="1:18" ht="38.25" thickBot="1" x14ac:dyDescent="0.3">
      <c r="B19" s="198" t="s">
        <v>235</v>
      </c>
      <c r="C19" s="193"/>
      <c r="D19" s="193"/>
      <c r="E19" s="193"/>
      <c r="F19" s="193"/>
      <c r="G19" s="193"/>
      <c r="H19" s="193"/>
      <c r="I19" s="193"/>
      <c r="J19" s="193"/>
      <c r="K19" s="193"/>
      <c r="L19" s="193"/>
      <c r="M19" s="193"/>
      <c r="N19" s="193"/>
      <c r="O19" s="193"/>
      <c r="P19" s="193"/>
      <c r="Q19" s="193"/>
      <c r="R19" s="194"/>
    </row>
    <row r="20" spans="1:18" x14ac:dyDescent="0.25">
      <c r="B20" s="467" t="s">
        <v>410</v>
      </c>
      <c r="C20" s="467"/>
      <c r="D20" s="467"/>
      <c r="E20" s="467"/>
      <c r="F20" s="467"/>
      <c r="G20" s="467"/>
      <c r="H20" s="467"/>
      <c r="I20" s="467"/>
      <c r="J20" s="467"/>
      <c r="K20" s="467"/>
      <c r="L20" s="467"/>
      <c r="M20" s="467"/>
      <c r="N20" s="467"/>
    </row>
    <row r="21" spans="1:18" x14ac:dyDescent="0.25">
      <c r="B21" s="467"/>
      <c r="C21" s="467"/>
      <c r="D21" s="467"/>
      <c r="E21" s="467"/>
      <c r="F21" s="467"/>
      <c r="G21" s="467"/>
      <c r="H21" s="467"/>
      <c r="I21" s="467"/>
      <c r="J21" s="467"/>
      <c r="K21" s="467"/>
      <c r="L21" s="467"/>
      <c r="M21" s="467"/>
      <c r="N21" s="467"/>
    </row>
    <row r="22" spans="1:18" s="278" customFormat="1" ht="15.75" thickBot="1" x14ac:dyDescent="0.3">
      <c r="B22" s="363"/>
      <c r="C22" s="363"/>
      <c r="D22" s="363"/>
      <c r="E22" s="363"/>
      <c r="F22" s="363"/>
      <c r="G22" s="363"/>
      <c r="H22" s="363"/>
      <c r="I22" s="363"/>
      <c r="J22" s="363"/>
      <c r="K22" s="363"/>
      <c r="L22" s="363"/>
      <c r="M22" s="363"/>
      <c r="N22" s="363"/>
    </row>
    <row r="23" spans="1:18" ht="48" x14ac:dyDescent="0.25">
      <c r="C23" s="468" t="s">
        <v>370</v>
      </c>
      <c r="D23" s="469"/>
      <c r="E23" s="469"/>
      <c r="F23" s="469"/>
      <c r="G23" s="470"/>
      <c r="H23" s="471" t="s">
        <v>371</v>
      </c>
      <c r="I23" s="470"/>
      <c r="J23" s="334" t="s">
        <v>372</v>
      </c>
      <c r="K23" s="468" t="s">
        <v>373</v>
      </c>
      <c r="L23" s="470"/>
    </row>
    <row r="24" spans="1:18" ht="130.5" thickBot="1" x14ac:dyDescent="0.3">
      <c r="A24" t="s">
        <v>411</v>
      </c>
      <c r="B24" s="335" t="s">
        <v>236</v>
      </c>
      <c r="C24" s="336" t="s">
        <v>237</v>
      </c>
      <c r="D24" s="337" t="s">
        <v>240</v>
      </c>
      <c r="E24" s="337" t="s">
        <v>241</v>
      </c>
      <c r="F24" s="337" t="s">
        <v>242</v>
      </c>
      <c r="G24" s="338" t="s">
        <v>243</v>
      </c>
      <c r="H24" s="337" t="s">
        <v>238</v>
      </c>
      <c r="I24" s="338" t="s">
        <v>239</v>
      </c>
      <c r="J24" s="338" t="s">
        <v>244</v>
      </c>
      <c r="K24" s="337" t="s">
        <v>245</v>
      </c>
      <c r="L24" s="338" t="s">
        <v>246</v>
      </c>
    </row>
    <row r="25" spans="1:18" ht="15.75" thickBot="1" x14ac:dyDescent="0.3">
      <c r="A25" s="368">
        <v>1</v>
      </c>
      <c r="B25" s="339" t="s">
        <v>374</v>
      </c>
      <c r="C25" s="340">
        <v>848</v>
      </c>
      <c r="D25" s="341">
        <v>297</v>
      </c>
      <c r="E25" s="341">
        <v>677</v>
      </c>
      <c r="F25" s="341">
        <v>228</v>
      </c>
      <c r="G25" s="341">
        <v>43</v>
      </c>
      <c r="H25" s="341">
        <v>687</v>
      </c>
      <c r="I25" s="341">
        <v>85</v>
      </c>
      <c r="J25" s="341">
        <v>562</v>
      </c>
      <c r="K25" s="341">
        <v>99</v>
      </c>
      <c r="L25" s="341">
        <v>526</v>
      </c>
      <c r="M25" s="342">
        <v>4052</v>
      </c>
      <c r="N25" s="342">
        <v>4052</v>
      </c>
    </row>
    <row r="26" spans="1:18" ht="15.75" thickBot="1" x14ac:dyDescent="0.3">
      <c r="A26" s="368">
        <v>2</v>
      </c>
      <c r="B26" s="343" t="s">
        <v>375</v>
      </c>
      <c r="C26" s="344">
        <v>1723</v>
      </c>
      <c r="D26" s="345">
        <v>252</v>
      </c>
      <c r="E26" s="345">
        <v>112</v>
      </c>
      <c r="F26" s="345">
        <v>53</v>
      </c>
      <c r="G26" s="345">
        <v>5</v>
      </c>
      <c r="H26" s="345">
        <v>484</v>
      </c>
      <c r="I26" s="345">
        <v>130</v>
      </c>
      <c r="J26" s="345">
        <v>230</v>
      </c>
      <c r="K26" s="345">
        <v>21</v>
      </c>
      <c r="L26" s="345">
        <v>534</v>
      </c>
      <c r="M26" s="346">
        <v>3544</v>
      </c>
      <c r="N26" s="346">
        <v>3544</v>
      </c>
    </row>
    <row r="27" spans="1:18" ht="15.75" thickBot="1" x14ac:dyDescent="0.3">
      <c r="A27" s="368">
        <v>3</v>
      </c>
      <c r="B27" s="343" t="s">
        <v>376</v>
      </c>
      <c r="C27" s="344">
        <v>1524</v>
      </c>
      <c r="D27" s="345">
        <v>181</v>
      </c>
      <c r="E27" s="345">
        <v>285</v>
      </c>
      <c r="F27" s="345">
        <v>182</v>
      </c>
      <c r="G27" s="345">
        <v>42</v>
      </c>
      <c r="H27" s="346">
        <v>1852</v>
      </c>
      <c r="I27" s="345">
        <v>88</v>
      </c>
      <c r="J27" s="345">
        <v>976</v>
      </c>
      <c r="K27" s="345">
        <v>56</v>
      </c>
      <c r="L27" s="345">
        <v>378</v>
      </c>
      <c r="M27" s="346">
        <v>5564</v>
      </c>
      <c r="N27" s="346">
        <v>5564</v>
      </c>
    </row>
    <row r="28" spans="1:18" ht="15.75" thickBot="1" x14ac:dyDescent="0.3">
      <c r="A28" s="368">
        <v>4</v>
      </c>
      <c r="B28" s="343" t="s">
        <v>377</v>
      </c>
      <c r="C28" s="347">
        <v>558</v>
      </c>
      <c r="D28" s="345">
        <v>420</v>
      </c>
      <c r="E28" s="345">
        <v>96</v>
      </c>
      <c r="F28" s="345">
        <v>130</v>
      </c>
      <c r="G28" s="345">
        <v>25</v>
      </c>
      <c r="H28" s="345">
        <v>464</v>
      </c>
      <c r="I28" s="345">
        <v>22</v>
      </c>
      <c r="J28" s="345">
        <v>212</v>
      </c>
      <c r="K28" s="345">
        <v>39</v>
      </c>
      <c r="L28" s="345">
        <v>101</v>
      </c>
      <c r="M28" s="346">
        <v>2067</v>
      </c>
      <c r="N28" s="346">
        <v>2067</v>
      </c>
    </row>
    <row r="29" spans="1:18" ht="15.75" thickBot="1" x14ac:dyDescent="0.3">
      <c r="A29" s="368">
        <v>5</v>
      </c>
      <c r="B29" s="343" t="s">
        <v>378</v>
      </c>
      <c r="C29" s="347">
        <v>396</v>
      </c>
      <c r="D29" s="345">
        <v>63</v>
      </c>
      <c r="E29" s="345">
        <v>166</v>
      </c>
      <c r="F29" s="345">
        <v>130</v>
      </c>
      <c r="G29" s="345">
        <v>11</v>
      </c>
      <c r="H29" s="345">
        <v>460</v>
      </c>
      <c r="I29" s="345">
        <v>32</v>
      </c>
      <c r="J29" s="345">
        <v>73</v>
      </c>
      <c r="K29" s="345">
        <v>51</v>
      </c>
      <c r="L29" s="345">
        <v>232</v>
      </c>
      <c r="M29" s="346">
        <v>1614</v>
      </c>
      <c r="N29" s="346">
        <v>1614</v>
      </c>
    </row>
    <row r="30" spans="1:18" ht="15.75" thickBot="1" x14ac:dyDescent="0.3">
      <c r="A30" s="368">
        <v>6</v>
      </c>
      <c r="B30" s="343" t="s">
        <v>379</v>
      </c>
      <c r="C30" s="344">
        <v>1630</v>
      </c>
      <c r="D30" s="345">
        <v>483</v>
      </c>
      <c r="E30" s="345">
        <v>54</v>
      </c>
      <c r="F30" s="345">
        <v>18</v>
      </c>
      <c r="G30" s="345">
        <v>3</v>
      </c>
      <c r="H30" s="346">
        <v>1860</v>
      </c>
      <c r="I30" s="345">
        <v>64</v>
      </c>
      <c r="J30" s="345">
        <v>250</v>
      </c>
      <c r="K30" s="345">
        <v>78</v>
      </c>
      <c r="L30" s="346">
        <v>1244</v>
      </c>
      <c r="M30" s="346">
        <v>5684</v>
      </c>
      <c r="N30" s="346">
        <v>5684</v>
      </c>
    </row>
    <row r="31" spans="1:18" ht="15.75" thickBot="1" x14ac:dyDescent="0.3">
      <c r="A31" s="463">
        <v>7</v>
      </c>
      <c r="B31" s="348" t="s">
        <v>380</v>
      </c>
      <c r="C31" s="349">
        <v>1714</v>
      </c>
      <c r="D31" s="350">
        <v>478</v>
      </c>
      <c r="E31" s="350">
        <v>5</v>
      </c>
      <c r="F31" s="350">
        <v>98</v>
      </c>
      <c r="G31" s="350">
        <v>34</v>
      </c>
      <c r="H31" s="351">
        <v>4572</v>
      </c>
      <c r="I31" s="350">
        <v>121</v>
      </c>
      <c r="J31" s="351">
        <v>1309</v>
      </c>
      <c r="K31" s="350">
        <v>32</v>
      </c>
      <c r="L31" s="350">
        <v>528</v>
      </c>
      <c r="M31" s="351">
        <v>8891</v>
      </c>
      <c r="N31" s="472">
        <v>10147</v>
      </c>
    </row>
    <row r="32" spans="1:18" ht="24.75" thickBot="1" x14ac:dyDescent="0.3">
      <c r="A32" s="464"/>
      <c r="B32" s="352" t="s">
        <v>381</v>
      </c>
      <c r="C32" s="353"/>
      <c r="D32" s="354">
        <v>0</v>
      </c>
      <c r="E32" s="354">
        <v>0</v>
      </c>
      <c r="F32" s="354">
        <v>0</v>
      </c>
      <c r="G32" s="354">
        <v>0</v>
      </c>
      <c r="H32" s="354">
        <v>67</v>
      </c>
      <c r="I32" s="354">
        <v>36</v>
      </c>
      <c r="J32" s="354">
        <v>2</v>
      </c>
      <c r="K32" s="354">
        <v>21</v>
      </c>
      <c r="L32" s="354">
        <v>1125</v>
      </c>
      <c r="M32" s="351">
        <v>1256</v>
      </c>
      <c r="N32" s="473"/>
    </row>
    <row r="33" spans="2:14" x14ac:dyDescent="0.25">
      <c r="N33" s="355">
        <v>32672</v>
      </c>
    </row>
    <row r="34" spans="2:14" x14ac:dyDescent="0.25">
      <c r="B34" s="474" t="s">
        <v>382</v>
      </c>
      <c r="C34" s="474"/>
      <c r="D34" s="474"/>
      <c r="E34" s="474"/>
      <c r="F34" s="474"/>
      <c r="G34" s="474"/>
      <c r="H34" s="474"/>
      <c r="I34" s="474"/>
      <c r="J34" s="474"/>
      <c r="K34" s="474"/>
      <c r="L34" s="474"/>
      <c r="M34" s="474"/>
    </row>
    <row r="37" spans="2:14" ht="21.75" thickBot="1" x14ac:dyDescent="0.3">
      <c r="C37" s="356" t="s">
        <v>383</v>
      </c>
    </row>
    <row r="38" spans="2:14" ht="179.25" thickBot="1" x14ac:dyDescent="0.3">
      <c r="C38" s="357" t="s">
        <v>384</v>
      </c>
      <c r="D38" s="358" t="s">
        <v>385</v>
      </c>
      <c r="E38" s="358" t="s">
        <v>386</v>
      </c>
      <c r="F38" s="358" t="s">
        <v>387</v>
      </c>
      <c r="G38" s="358" t="s">
        <v>388</v>
      </c>
      <c r="H38" s="358" t="s">
        <v>389</v>
      </c>
      <c r="I38" s="358" t="s">
        <v>390</v>
      </c>
      <c r="J38" s="358" t="s">
        <v>391</v>
      </c>
      <c r="K38" s="358" t="s">
        <v>392</v>
      </c>
    </row>
    <row r="39" spans="2:14" ht="15.75" thickBot="1" x14ac:dyDescent="0.3">
      <c r="C39" s="359">
        <v>1</v>
      </c>
      <c r="D39" s="364" t="s">
        <v>376</v>
      </c>
      <c r="E39" s="361">
        <v>11</v>
      </c>
      <c r="F39" s="361">
        <v>26</v>
      </c>
      <c r="G39" s="361">
        <v>11</v>
      </c>
      <c r="H39" s="361">
        <v>1</v>
      </c>
      <c r="I39" s="367" t="s">
        <v>393</v>
      </c>
      <c r="J39" s="365" t="s">
        <v>394</v>
      </c>
      <c r="K39" s="365" t="s">
        <v>394</v>
      </c>
    </row>
    <row r="40" spans="2:14" ht="15.75" thickBot="1" x14ac:dyDescent="0.3">
      <c r="C40" s="359">
        <v>2</v>
      </c>
      <c r="D40" s="360" t="s">
        <v>395</v>
      </c>
      <c r="E40" s="361">
        <v>11</v>
      </c>
      <c r="F40" s="361">
        <v>36</v>
      </c>
      <c r="G40" s="361">
        <v>14</v>
      </c>
      <c r="H40" s="361">
        <v>0</v>
      </c>
      <c r="I40" s="361" t="s">
        <v>396</v>
      </c>
      <c r="J40" s="361" t="s">
        <v>394</v>
      </c>
      <c r="K40" s="361" t="s">
        <v>394</v>
      </c>
    </row>
    <row r="41" spans="2:14" ht="15.75" thickBot="1" x14ac:dyDescent="0.3">
      <c r="C41" s="359">
        <v>3</v>
      </c>
      <c r="D41" s="360" t="s">
        <v>397</v>
      </c>
      <c r="E41" s="361">
        <v>11</v>
      </c>
      <c r="F41" s="361">
        <v>29</v>
      </c>
      <c r="G41" s="361">
        <v>10</v>
      </c>
      <c r="H41" s="361">
        <v>1</v>
      </c>
      <c r="I41" s="361" t="s">
        <v>396</v>
      </c>
      <c r="J41" s="361" t="s">
        <v>394</v>
      </c>
      <c r="K41" s="361" t="s">
        <v>394</v>
      </c>
    </row>
    <row r="42" spans="2:14" ht="15.75" thickBot="1" x14ac:dyDescent="0.3">
      <c r="C42" s="359">
        <v>4</v>
      </c>
      <c r="D42" s="360" t="s">
        <v>398</v>
      </c>
      <c r="E42" s="361">
        <v>11</v>
      </c>
      <c r="F42" s="361">
        <v>8</v>
      </c>
      <c r="G42" s="361">
        <v>15</v>
      </c>
      <c r="H42" s="361">
        <v>1</v>
      </c>
      <c r="I42" s="361" t="s">
        <v>396</v>
      </c>
      <c r="J42" s="361" t="s">
        <v>394</v>
      </c>
      <c r="K42" s="361" t="s">
        <v>394</v>
      </c>
    </row>
    <row r="43" spans="2:14" ht="15.75" thickBot="1" x14ac:dyDescent="0.3">
      <c r="C43" s="359">
        <v>5</v>
      </c>
      <c r="D43" s="360" t="s">
        <v>399</v>
      </c>
      <c r="E43" s="361">
        <v>8</v>
      </c>
      <c r="F43" s="361">
        <v>17</v>
      </c>
      <c r="G43" s="361">
        <v>6</v>
      </c>
      <c r="H43" s="361">
        <v>1</v>
      </c>
      <c r="I43" s="361" t="s">
        <v>396</v>
      </c>
      <c r="J43" s="361" t="s">
        <v>394</v>
      </c>
      <c r="K43" s="361" t="s">
        <v>394</v>
      </c>
    </row>
    <row r="44" spans="2:14" ht="15.75" thickBot="1" x14ac:dyDescent="0.3">
      <c r="C44" s="359">
        <v>6</v>
      </c>
      <c r="D44" s="364" t="s">
        <v>379</v>
      </c>
      <c r="E44" s="361">
        <v>12</v>
      </c>
      <c r="F44" s="361">
        <v>25</v>
      </c>
      <c r="G44" s="361">
        <v>10</v>
      </c>
      <c r="H44" s="361">
        <v>2</v>
      </c>
      <c r="I44" s="367" t="s">
        <v>393</v>
      </c>
      <c r="J44" s="365" t="s">
        <v>394</v>
      </c>
      <c r="K44" s="365" t="s">
        <v>394</v>
      </c>
    </row>
    <row r="45" spans="2:14" ht="15.75" thickBot="1" x14ac:dyDescent="0.3">
      <c r="C45" s="359">
        <v>7</v>
      </c>
      <c r="D45" s="364" t="s">
        <v>400</v>
      </c>
      <c r="E45" s="361">
        <v>10</v>
      </c>
      <c r="F45" s="361">
        <v>15</v>
      </c>
      <c r="G45" s="361">
        <v>11</v>
      </c>
      <c r="H45" s="361">
        <v>1</v>
      </c>
      <c r="I45" s="365" t="s">
        <v>396</v>
      </c>
      <c r="J45" s="365" t="s">
        <v>394</v>
      </c>
      <c r="K45" s="365" t="s">
        <v>394</v>
      </c>
    </row>
    <row r="46" spans="2:14" ht="15.75" thickBot="1" x14ac:dyDescent="0.3">
      <c r="C46" s="359">
        <v>8</v>
      </c>
      <c r="D46" s="364" t="s">
        <v>401</v>
      </c>
      <c r="E46" s="361">
        <v>9</v>
      </c>
      <c r="F46" s="361">
        <v>26</v>
      </c>
      <c r="G46" s="361">
        <v>7</v>
      </c>
      <c r="H46" s="361">
        <v>1</v>
      </c>
      <c r="I46" s="365" t="s">
        <v>396</v>
      </c>
      <c r="J46" s="365" t="s">
        <v>394</v>
      </c>
      <c r="K46" s="365" t="s">
        <v>394</v>
      </c>
    </row>
    <row r="47" spans="2:14" ht="15.75" thickBot="1" x14ac:dyDescent="0.3">
      <c r="C47" s="359">
        <v>9</v>
      </c>
      <c r="D47" s="360" t="s">
        <v>402</v>
      </c>
      <c r="E47" s="361">
        <v>8</v>
      </c>
      <c r="F47" s="361">
        <v>16</v>
      </c>
      <c r="G47" s="361">
        <v>5</v>
      </c>
      <c r="H47" s="361">
        <v>0</v>
      </c>
      <c r="I47" s="361" t="s">
        <v>393</v>
      </c>
      <c r="J47" s="361" t="s">
        <v>394</v>
      </c>
      <c r="K47" s="361" t="s">
        <v>394</v>
      </c>
    </row>
    <row r="48" spans="2:14" ht="15.75" thickBot="1" x14ac:dyDescent="0.3">
      <c r="C48" s="359">
        <v>10</v>
      </c>
      <c r="D48" s="360" t="s">
        <v>403</v>
      </c>
      <c r="E48" s="361">
        <v>8</v>
      </c>
      <c r="F48" s="361">
        <v>17</v>
      </c>
      <c r="G48" s="361">
        <v>3</v>
      </c>
      <c r="H48" s="361">
        <v>0</v>
      </c>
      <c r="I48" s="361" t="s">
        <v>393</v>
      </c>
      <c r="J48" s="361" t="s">
        <v>394</v>
      </c>
      <c r="K48" s="361" t="s">
        <v>394</v>
      </c>
    </row>
    <row r="49" spans="3:11" ht="15.75" thickBot="1" x14ac:dyDescent="0.3">
      <c r="C49" s="359">
        <v>11</v>
      </c>
      <c r="D49" s="360" t="s">
        <v>404</v>
      </c>
      <c r="E49" s="361">
        <v>5</v>
      </c>
      <c r="F49" s="361">
        <v>25</v>
      </c>
      <c r="G49" s="361">
        <v>4</v>
      </c>
      <c r="H49" s="361">
        <v>1</v>
      </c>
      <c r="I49" s="361" t="s">
        <v>396</v>
      </c>
      <c r="J49" s="361" t="s">
        <v>394</v>
      </c>
      <c r="K49" s="361" t="s">
        <v>394</v>
      </c>
    </row>
    <row r="50" spans="3:11" ht="15.75" thickBot="1" x14ac:dyDescent="0.3">
      <c r="C50" s="359">
        <v>12</v>
      </c>
      <c r="D50" s="364" t="s">
        <v>380</v>
      </c>
      <c r="E50" s="361">
        <v>10</v>
      </c>
      <c r="F50" s="361">
        <v>20</v>
      </c>
      <c r="G50" s="361">
        <v>2</v>
      </c>
      <c r="H50" s="361">
        <v>1</v>
      </c>
      <c r="I50" s="365" t="s">
        <v>396</v>
      </c>
      <c r="J50" s="365" t="s">
        <v>394</v>
      </c>
      <c r="K50" s="365" t="s">
        <v>394</v>
      </c>
    </row>
    <row r="51" spans="3:11" ht="15.75" thickBot="1" x14ac:dyDescent="0.3">
      <c r="C51" s="359">
        <v>13</v>
      </c>
      <c r="D51" s="360" t="s">
        <v>405</v>
      </c>
      <c r="E51" s="361">
        <v>9</v>
      </c>
      <c r="F51" s="361">
        <v>29</v>
      </c>
      <c r="G51" s="361">
        <v>4</v>
      </c>
      <c r="H51" s="361">
        <v>1</v>
      </c>
      <c r="I51" s="361" t="s">
        <v>393</v>
      </c>
      <c r="J51" s="361" t="s">
        <v>394</v>
      </c>
      <c r="K51" s="361" t="s">
        <v>394</v>
      </c>
    </row>
    <row r="52" spans="3:11" ht="15.75" thickBot="1" x14ac:dyDescent="0.3">
      <c r="C52" s="359">
        <v>14</v>
      </c>
      <c r="D52" s="364" t="s">
        <v>375</v>
      </c>
      <c r="E52" s="361">
        <v>10</v>
      </c>
      <c r="F52" s="361">
        <v>18</v>
      </c>
      <c r="G52" s="361">
        <v>7</v>
      </c>
      <c r="H52" s="361">
        <v>1</v>
      </c>
      <c r="I52" s="365" t="s">
        <v>396</v>
      </c>
      <c r="J52" s="365" t="s">
        <v>394</v>
      </c>
      <c r="K52" s="365" t="s">
        <v>394</v>
      </c>
    </row>
    <row r="53" spans="3:11" ht="15.75" thickBot="1" x14ac:dyDescent="0.3">
      <c r="C53" s="359">
        <v>15</v>
      </c>
      <c r="D53" s="366" t="s">
        <v>406</v>
      </c>
      <c r="E53" s="361">
        <v>8</v>
      </c>
      <c r="F53" s="361">
        <v>19</v>
      </c>
      <c r="G53" s="361">
        <v>5</v>
      </c>
      <c r="H53" s="361">
        <v>1</v>
      </c>
      <c r="I53" s="361" t="s">
        <v>396</v>
      </c>
      <c r="J53" s="361" t="s">
        <v>394</v>
      </c>
      <c r="K53" s="361" t="s">
        <v>394</v>
      </c>
    </row>
    <row r="54" spans="3:11" x14ac:dyDescent="0.25">
      <c r="C54" s="362"/>
    </row>
    <row r="55" spans="3:11" x14ac:dyDescent="0.25">
      <c r="C55" s="465" t="s">
        <v>407</v>
      </c>
      <c r="D55" s="465"/>
      <c r="E55" s="465"/>
      <c r="F55" s="465"/>
      <c r="G55" s="465"/>
      <c r="H55" s="465"/>
      <c r="I55" s="465"/>
      <c r="J55" s="465"/>
      <c r="K55" s="465"/>
    </row>
    <row r="56" spans="3:11" x14ac:dyDescent="0.25">
      <c r="C56" s="466" t="s">
        <v>408</v>
      </c>
      <c r="D56" s="466"/>
      <c r="E56" s="466"/>
      <c r="F56" s="466"/>
      <c r="G56" s="466"/>
      <c r="H56" s="466"/>
      <c r="I56" s="466"/>
      <c r="J56" s="466"/>
      <c r="K56" s="466"/>
    </row>
    <row r="57" spans="3:11" x14ac:dyDescent="0.25">
      <c r="C57" s="466"/>
      <c r="D57" s="466"/>
      <c r="E57" s="466"/>
      <c r="F57" s="466"/>
      <c r="G57" s="466"/>
      <c r="H57" s="466"/>
      <c r="I57" s="466"/>
      <c r="J57" s="466"/>
      <c r="K57" s="466"/>
    </row>
    <row r="58" spans="3:11" x14ac:dyDescent="0.25">
      <c r="C58" s="466" t="s">
        <v>409</v>
      </c>
      <c r="D58" s="466"/>
      <c r="E58" s="466"/>
      <c r="F58" s="466"/>
      <c r="G58" s="466"/>
      <c r="H58" s="466"/>
      <c r="I58" s="466"/>
      <c r="J58" s="466"/>
      <c r="K58" s="466"/>
    </row>
    <row r="59" spans="3:11" x14ac:dyDescent="0.25">
      <c r="C59" s="466"/>
      <c r="D59" s="466"/>
      <c r="E59" s="466"/>
      <c r="F59" s="466"/>
      <c r="G59" s="466"/>
      <c r="H59" s="466"/>
      <c r="I59" s="466"/>
      <c r="J59" s="466"/>
      <c r="K59" s="466"/>
    </row>
  </sheetData>
  <mergeCells count="14">
    <mergeCell ref="C55:K55"/>
    <mergeCell ref="C58:K59"/>
    <mergeCell ref="C56:K57"/>
    <mergeCell ref="B20:N21"/>
    <mergeCell ref="C23:G23"/>
    <mergeCell ref="H23:I23"/>
    <mergeCell ref="K23:L23"/>
    <mergeCell ref="N31:N32"/>
    <mergeCell ref="B34:M34"/>
    <mergeCell ref="K11:O18"/>
    <mergeCell ref="E2:I2"/>
    <mergeCell ref="C16:J16"/>
    <mergeCell ref="D18:H18"/>
    <mergeCell ref="A31:A32"/>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94"/>
  <sheetViews>
    <sheetView tabSelected="1" topLeftCell="B4" zoomScale="90" zoomScaleNormal="90" workbookViewId="0">
      <selection activeCell="H16" sqref="H16"/>
    </sheetView>
  </sheetViews>
  <sheetFormatPr baseColWidth="10" defaultColWidth="8.85546875" defaultRowHeight="15" x14ac:dyDescent="0.25"/>
  <cols>
    <col min="1" max="1" width="41.28515625" customWidth="1"/>
    <col min="2" max="2" width="27" customWidth="1"/>
    <col min="3" max="3" width="24.85546875" customWidth="1"/>
    <col min="4" max="4" width="22.5703125" customWidth="1"/>
    <col min="5" max="5" width="24" customWidth="1"/>
    <col min="6" max="6" width="18" customWidth="1"/>
    <col min="7" max="7" width="17" customWidth="1"/>
    <col min="8" max="8" width="16.42578125" customWidth="1"/>
    <col min="9" max="9" width="20.5703125" customWidth="1"/>
    <col min="10" max="10" width="16.85546875" bestFit="1" customWidth="1"/>
  </cols>
  <sheetData>
    <row r="1" spans="1:12" x14ac:dyDescent="0.25">
      <c r="A1" t="s">
        <v>0</v>
      </c>
    </row>
    <row r="2" spans="1:12" x14ac:dyDescent="0.25">
      <c r="D2" s="432" t="s">
        <v>10</v>
      </c>
      <c r="E2" s="432"/>
      <c r="F2" s="432"/>
    </row>
    <row r="3" spans="1:12" ht="60" x14ac:dyDescent="0.25">
      <c r="A3" t="s">
        <v>123</v>
      </c>
      <c r="B3" t="s">
        <v>3</v>
      </c>
      <c r="C3" t="s">
        <v>179</v>
      </c>
      <c r="D3" s="3" t="s">
        <v>126</v>
      </c>
      <c r="E3" s="3" t="s">
        <v>127</v>
      </c>
      <c r="F3" s="3" t="s">
        <v>128</v>
      </c>
      <c r="G3" s="3" t="s">
        <v>11</v>
      </c>
      <c r="H3" s="2" t="s">
        <v>18</v>
      </c>
      <c r="I3" s="3" t="s">
        <v>25</v>
      </c>
    </row>
    <row r="4" spans="1:12" ht="81.75" customHeight="1" x14ac:dyDescent="0.25">
      <c r="A4" s="149" t="s">
        <v>124</v>
      </c>
      <c r="B4" s="1" t="s">
        <v>125</v>
      </c>
      <c r="D4" s="332">
        <f>C46</f>
        <v>295649920</v>
      </c>
      <c r="E4" s="130">
        <f>E46</f>
        <v>237279111117</v>
      </c>
      <c r="F4" s="311">
        <f>(D4/E4)*100</f>
        <v>0.12460006218339968</v>
      </c>
      <c r="G4" s="321">
        <f>F4</f>
        <v>0.12460006218339968</v>
      </c>
      <c r="H4" s="321">
        <f>G4+(G4*0.03)</f>
        <v>0.12833806404890166</v>
      </c>
      <c r="J4" s="231"/>
    </row>
    <row r="5" spans="1:12" x14ac:dyDescent="0.25">
      <c r="B5" s="8" t="s">
        <v>17</v>
      </c>
      <c r="C5" t="s">
        <v>37</v>
      </c>
      <c r="D5" s="226">
        <v>102000</v>
      </c>
      <c r="E5" s="226">
        <v>601000</v>
      </c>
      <c r="F5" s="6">
        <f t="shared" ref="F5:F8" si="0">(D5/E5)*100</f>
        <v>16.971713810316139</v>
      </c>
      <c r="G5" s="323">
        <f>F5</f>
        <v>16.971713810316139</v>
      </c>
      <c r="H5" s="10">
        <f>+((G5-$G$4)/($H$4-$G$4))*100</f>
        <v>450698.37721630785</v>
      </c>
      <c r="I5">
        <f>IF(H5&lt;50,0,IF(H5&gt;100,100,IF(H5&gt;50,H5,)))</f>
        <v>100</v>
      </c>
    </row>
    <row r="6" spans="1:12" x14ac:dyDescent="0.25">
      <c r="B6" s="8"/>
      <c r="C6" t="s">
        <v>38</v>
      </c>
      <c r="D6" s="226">
        <f>+D5*2.01</f>
        <v>205019.99999999997</v>
      </c>
      <c r="E6" s="226">
        <f>+E5*2</f>
        <v>1202000</v>
      </c>
      <c r="F6" s="6">
        <f t="shared" si="0"/>
        <v>17.056572379367719</v>
      </c>
      <c r="G6" s="323">
        <f>F6</f>
        <v>17.056572379367719</v>
      </c>
      <c r="H6" s="10">
        <f t="shared" ref="H6:H8" si="1">+((G6-$G$4)/($H$4-$G$4))*100</f>
        <v>452968.53576905595</v>
      </c>
      <c r="I6">
        <f>IF(H6&lt;50,0,IF(H6&gt;100,100,IF(H6&gt;50,H6,)))</f>
        <v>100</v>
      </c>
    </row>
    <row r="7" spans="1:12" ht="15.75" x14ac:dyDescent="0.25">
      <c r="B7" s="42" t="s">
        <v>65</v>
      </c>
      <c r="C7" t="s">
        <v>40</v>
      </c>
      <c r="D7" s="226">
        <f t="shared" ref="D7:D8" si="2">+D6*2.01</f>
        <v>412090.1999999999</v>
      </c>
      <c r="E7" s="226">
        <f t="shared" ref="E7:E8" si="3">+E6*2</f>
        <v>2404000</v>
      </c>
      <c r="F7" s="6">
        <f t="shared" si="0"/>
        <v>17.141855241264555</v>
      </c>
      <c r="G7" s="323">
        <f>F7</f>
        <v>17.141855241264555</v>
      </c>
      <c r="H7" s="10">
        <f t="shared" si="1"/>
        <v>455250.04511456791</v>
      </c>
      <c r="I7">
        <f>IF(H7&lt;50,0,IF(H7&gt;100,100,IF(H7&gt;50,H7,)))</f>
        <v>100</v>
      </c>
    </row>
    <row r="8" spans="1:12" ht="19.5" customHeight="1" x14ac:dyDescent="0.25">
      <c r="A8" s="9" t="s">
        <v>20</v>
      </c>
      <c r="C8" t="s">
        <v>39</v>
      </c>
      <c r="D8" s="226">
        <f t="shared" si="2"/>
        <v>828301.30199999968</v>
      </c>
      <c r="E8" s="226">
        <f t="shared" si="3"/>
        <v>4808000</v>
      </c>
      <c r="F8" s="6">
        <f t="shared" si="0"/>
        <v>17.227564517470874</v>
      </c>
      <c r="G8" s="323">
        <f>F8</f>
        <v>17.227564517470874</v>
      </c>
      <c r="H8" s="10">
        <f t="shared" si="1"/>
        <v>457542.96200680727</v>
      </c>
      <c r="I8">
        <f>IF(H8&lt;50,0,IF(H8&gt;100,100,IF(H8&gt;50,H8,)))</f>
        <v>100</v>
      </c>
    </row>
    <row r="9" spans="1:12" ht="11.25" customHeight="1" thickBot="1" x14ac:dyDescent="0.3">
      <c r="A9" s="43" t="s">
        <v>129</v>
      </c>
      <c r="D9" s="123"/>
      <c r="E9" s="123"/>
      <c r="F9" s="36"/>
      <c r="G9" s="51">
        <v>2019</v>
      </c>
      <c r="H9" s="51">
        <v>2020</v>
      </c>
      <c r="I9" s="52"/>
    </row>
    <row r="10" spans="1:12" ht="27" thickBot="1" x14ac:dyDescent="0.45">
      <c r="A10" s="43"/>
      <c r="C10" s="234" t="s">
        <v>296</v>
      </c>
      <c r="D10" s="416">
        <v>281881509.06999993</v>
      </c>
      <c r="E10" s="161">
        <f>E47</f>
        <v>255070986008</v>
      </c>
      <c r="F10" s="311">
        <f>(D10/E10)*100</f>
        <v>0.11051100459585751</v>
      </c>
      <c r="G10" s="323">
        <f>F10</f>
        <v>0.11051100459585751</v>
      </c>
      <c r="H10" s="10">
        <f>+((G10-$G$4)/($H$4-$G$4))*100</f>
        <v>-376.91414008029489</v>
      </c>
      <c r="I10" s="208">
        <f>IF(H10&lt;50,0,IF(H10&gt;100,100,IF(H10&gt;50,H10,)))</f>
        <v>0</v>
      </c>
    </row>
    <row r="11" spans="1:12" ht="11.25" customHeight="1" x14ac:dyDescent="0.25">
      <c r="A11" s="43" t="s">
        <v>130</v>
      </c>
      <c r="C11" s="4">
        <v>2020</v>
      </c>
      <c r="D11" s="123"/>
      <c r="E11" s="123"/>
      <c r="G11" s="64">
        <f>+G8</f>
        <v>17.227564517470874</v>
      </c>
      <c r="H11" s="53">
        <f>(G11*0.03)+G11</f>
        <v>17.744391452995</v>
      </c>
      <c r="I11" s="52"/>
      <c r="K11" t="s">
        <v>186</v>
      </c>
    </row>
    <row r="12" spans="1:12" ht="11.25" customHeight="1" x14ac:dyDescent="0.25">
      <c r="A12" s="43" t="s">
        <v>132</v>
      </c>
      <c r="C12" t="s">
        <v>37</v>
      </c>
      <c r="D12" s="226">
        <f>+D5*1.03</f>
        <v>105060</v>
      </c>
      <c r="E12" s="226">
        <f>+E5*1.03</f>
        <v>619030</v>
      </c>
      <c r="F12" s="227">
        <f t="shared" ref="F12:F15" si="4">(D12/E12)*100</f>
        <v>16.971713810316139</v>
      </c>
      <c r="G12" s="52">
        <f>F12</f>
        <v>16.971713810316139</v>
      </c>
      <c r="H12" s="54">
        <f>+((G12-$G$11)/($H$11-$G$11))*100</f>
        <v>-49.504135633966413</v>
      </c>
      <c r="I12" s="52">
        <f>IF(H12&lt;50,0,IF(H12&gt;100,100,IF(H12&gt;50,H12,)))</f>
        <v>0</v>
      </c>
    </row>
    <row r="13" spans="1:12" ht="11.25" customHeight="1" x14ac:dyDescent="0.25">
      <c r="A13" s="43" t="s">
        <v>131</v>
      </c>
      <c r="C13" t="s">
        <v>38</v>
      </c>
      <c r="D13" s="226">
        <f>+D12*2.03</f>
        <v>213271.8</v>
      </c>
      <c r="E13" s="226">
        <f t="shared" ref="E13:E15" si="5">+E12*2</f>
        <v>1238060</v>
      </c>
      <c r="F13" s="227">
        <f t="shared" si="4"/>
        <v>17.226289517470882</v>
      </c>
      <c r="G13" s="52">
        <f>F13</f>
        <v>17.226289517470882</v>
      </c>
      <c r="H13" s="54">
        <f t="shared" ref="H13:H15" si="6">+((G13-$G$11)/($H$11-$G$11))*100</f>
        <v>-0.24669766847573099</v>
      </c>
      <c r="I13" s="52">
        <f>IF(H13&lt;50,0,IF(H13&gt;100,100,IF(H13&gt;50,H13,)))</f>
        <v>0</v>
      </c>
    </row>
    <row r="14" spans="1:12" ht="11.25" customHeight="1" thickBot="1" x14ac:dyDescent="0.3">
      <c r="C14" t="s">
        <v>40</v>
      </c>
      <c r="D14" s="226">
        <f t="shared" ref="D14:D15" si="7">+D13*2.03</f>
        <v>432941.75399999996</v>
      </c>
      <c r="E14" s="226">
        <f t="shared" si="5"/>
        <v>2476120</v>
      </c>
      <c r="F14" s="227">
        <f t="shared" si="4"/>
        <v>17.484683860232945</v>
      </c>
      <c r="G14" s="52">
        <f>F14</f>
        <v>17.484683860232945</v>
      </c>
      <c r="H14" s="54">
        <f t="shared" si="6"/>
        <v>49.749601866497173</v>
      </c>
      <c r="I14" s="52">
        <f>IF(H14&lt;50,0,IF(H14&gt;100,100,IF(H14&gt;50,H14,)))</f>
        <v>0</v>
      </c>
    </row>
    <row r="15" spans="1:12" ht="11.25" customHeight="1" thickBot="1" x14ac:dyDescent="0.3">
      <c r="A15" s="74" t="s">
        <v>185</v>
      </c>
      <c r="B15" s="75"/>
      <c r="C15" t="s">
        <v>39</v>
      </c>
      <c r="D15" s="226">
        <f t="shared" si="7"/>
        <v>878871.76061999984</v>
      </c>
      <c r="E15" s="226">
        <f t="shared" si="5"/>
        <v>4952240</v>
      </c>
      <c r="F15" s="227">
        <f t="shared" si="4"/>
        <v>17.746954118136436</v>
      </c>
      <c r="G15" s="52">
        <f>F15</f>
        <v>17.746954118136436</v>
      </c>
      <c r="H15" s="54">
        <f t="shared" si="6"/>
        <v>100.49584589449417</v>
      </c>
      <c r="I15" s="52">
        <f>IF(H15&lt;50,0,IF(H15&gt;100,100,IF(H15&gt;50,H15,)))</f>
        <v>100</v>
      </c>
      <c r="L15" s="414" t="s">
        <v>431</v>
      </c>
    </row>
    <row r="16" spans="1:12" ht="27" thickBot="1" x14ac:dyDescent="0.45">
      <c r="A16" s="76"/>
      <c r="B16" s="77"/>
      <c r="C16" s="234" t="s">
        <v>312</v>
      </c>
      <c r="D16" s="415">
        <v>1860058416.0499997</v>
      </c>
      <c r="E16" s="333">
        <f>E48</f>
        <v>288968100698</v>
      </c>
      <c r="F16" s="311">
        <f>(D16/E16)*100</f>
        <v>0.64368987841808301</v>
      </c>
      <c r="G16" s="233">
        <f>F16</f>
        <v>0.64368987841808301</v>
      </c>
      <c r="H16" s="10">
        <f>+((G16-$G$10)/($G$10*1.03-$G$10))*100</f>
        <v>16082.22565019891</v>
      </c>
      <c r="I16" s="208">
        <f>IF(H16&lt;50,0,IF(H16&gt;100,100,IF(H16&gt;50,H16,)))</f>
        <v>100</v>
      </c>
      <c r="K16" s="249">
        <v>0.64400000000000002</v>
      </c>
      <c r="L16" s="249">
        <v>2020</v>
      </c>
    </row>
    <row r="17" spans="1:12" ht="11.25" customHeight="1" x14ac:dyDescent="0.25">
      <c r="A17" s="76"/>
      <c r="B17" s="77"/>
      <c r="D17" s="123"/>
      <c r="E17" s="123"/>
      <c r="G17" s="48">
        <v>2020</v>
      </c>
      <c r="H17" s="49">
        <v>2021</v>
      </c>
      <c r="I17" s="52"/>
      <c r="K17" s="249">
        <v>0.1105</v>
      </c>
      <c r="L17" s="249">
        <v>2019</v>
      </c>
    </row>
    <row r="18" spans="1:12" ht="11.25" customHeight="1" x14ac:dyDescent="0.25">
      <c r="A18" s="76"/>
      <c r="B18" s="77"/>
      <c r="D18" s="123"/>
      <c r="E18" s="123"/>
      <c r="G18" s="48"/>
      <c r="H18" s="49"/>
      <c r="I18" s="52"/>
      <c r="K18" s="249">
        <f>K17*1.03</f>
        <v>0.113815</v>
      </c>
      <c r="L18" s="249" t="s">
        <v>430</v>
      </c>
    </row>
    <row r="19" spans="1:12" ht="11.25" customHeight="1" x14ac:dyDescent="0.25">
      <c r="A19" s="76"/>
      <c r="B19" s="77"/>
      <c r="D19" s="123"/>
      <c r="E19" s="123"/>
      <c r="G19" s="48"/>
      <c r="H19" s="49"/>
      <c r="I19" s="52"/>
    </row>
    <row r="20" spans="1:12" ht="11.25" customHeight="1" x14ac:dyDescent="0.25">
      <c r="A20" s="78"/>
      <c r="B20" s="77"/>
      <c r="C20" s="4">
        <v>2021</v>
      </c>
      <c r="D20" s="123"/>
      <c r="E20" s="123"/>
      <c r="G20" s="64">
        <f>+G15</f>
        <v>17.746954118136436</v>
      </c>
      <c r="H20" s="53">
        <f>(G20*0.03)+G20</f>
        <v>18.279362741680529</v>
      </c>
      <c r="I20" s="52"/>
      <c r="K20" s="502">
        <f>(K16-K17)/(K18-K17)</f>
        <v>160.93514328808453</v>
      </c>
    </row>
    <row r="21" spans="1:12" ht="11.25" customHeight="1" x14ac:dyDescent="0.25">
      <c r="A21" s="76"/>
      <c r="B21" s="77"/>
      <c r="C21" t="s">
        <v>37</v>
      </c>
      <c r="D21" s="128">
        <f>+D12*1.03</f>
        <v>108211.8</v>
      </c>
      <c r="E21" s="128">
        <f>+E12*1.03</f>
        <v>637600.9</v>
      </c>
      <c r="F21" s="50">
        <f t="shared" ref="F21:F24" si="8">(D21/E21)*100</f>
        <v>16.971713810316139</v>
      </c>
      <c r="G21" s="52">
        <f>F21</f>
        <v>16.971713810316139</v>
      </c>
      <c r="H21" s="54">
        <f>+((G21-$G$20)/($H$20-$G$20))*100</f>
        <v>-145.61002086325027</v>
      </c>
      <c r="I21" s="52">
        <f>IF(H21&lt;50,0,IF(H21&gt;100,100,IF(H21&gt;50,H21,)))</f>
        <v>0</v>
      </c>
    </row>
    <row r="22" spans="1:12" ht="11.25" customHeight="1" x14ac:dyDescent="0.25">
      <c r="A22" s="76" t="s">
        <v>180</v>
      </c>
      <c r="B22" s="77"/>
      <c r="C22" t="s">
        <v>38</v>
      </c>
      <c r="D22" s="123">
        <f>+D21*2.05</f>
        <v>221834.18999999997</v>
      </c>
      <c r="E22" s="123">
        <f t="shared" ref="E22:E24" si="9">+E21*2</f>
        <v>1275201.8</v>
      </c>
      <c r="F22" s="36">
        <f t="shared" si="8"/>
        <v>17.396006655574041</v>
      </c>
      <c r="G22" s="52">
        <f>F22</f>
        <v>17.396006655574041</v>
      </c>
      <c r="H22" s="54">
        <f t="shared" ref="H22:H24" si="10">+((G22-$G$20)/($H$20-$G$20))*100</f>
        <v>-65.916938051498406</v>
      </c>
      <c r="I22" s="52">
        <f>IF(H22&lt;50,0,IF(H22&gt;100,100,IF(H22&gt;50,H22,)))</f>
        <v>0</v>
      </c>
    </row>
    <row r="23" spans="1:12" ht="11.25" customHeight="1" x14ac:dyDescent="0.25">
      <c r="A23" s="78"/>
      <c r="B23" s="77"/>
      <c r="C23" t="s">
        <v>40</v>
      </c>
      <c r="D23" s="123">
        <f t="shared" ref="D23:D24" si="11">+D22*2.05</f>
        <v>454760.08949999989</v>
      </c>
      <c r="E23" s="123">
        <f t="shared" si="9"/>
        <v>2550403.6</v>
      </c>
      <c r="F23" s="36">
        <f t="shared" si="8"/>
        <v>17.830906821963389</v>
      </c>
      <c r="G23" s="52">
        <f>F23</f>
        <v>17.830906821963389</v>
      </c>
      <c r="H23" s="54">
        <f t="shared" si="10"/>
        <v>15.768471830546806</v>
      </c>
      <c r="I23" s="52">
        <f>IF(H23&lt;50,0,IF(H23&gt;100,100,IF(H23&gt;50,H23,)))</f>
        <v>0</v>
      </c>
    </row>
    <row r="24" spans="1:12" ht="11.25" customHeight="1" x14ac:dyDescent="0.25">
      <c r="A24" s="76" t="s">
        <v>181</v>
      </c>
      <c r="B24" s="77"/>
      <c r="C24" t="s">
        <v>39</v>
      </c>
      <c r="D24" s="123">
        <f t="shared" si="11"/>
        <v>932258.18347499974</v>
      </c>
      <c r="E24" s="123">
        <f t="shared" si="9"/>
        <v>5100807.2</v>
      </c>
      <c r="F24" s="36">
        <f t="shared" si="8"/>
        <v>18.276679492512475</v>
      </c>
      <c r="G24" s="52">
        <f>F24</f>
        <v>18.276679492512475</v>
      </c>
      <c r="H24" s="54">
        <f t="shared" si="10"/>
        <v>99.496016959644123</v>
      </c>
      <c r="I24" s="52">
        <f>IF(H24&lt;50,0,IF(H24&gt;100,100,IF(H24&gt;50,H24,)))</f>
        <v>99.496016959644123</v>
      </c>
    </row>
    <row r="25" spans="1:12" ht="11.25" customHeight="1" x14ac:dyDescent="0.25">
      <c r="A25" s="76"/>
      <c r="B25" s="77"/>
      <c r="D25" s="123"/>
      <c r="E25" s="123"/>
      <c r="F25" s="36"/>
      <c r="G25" s="52"/>
      <c r="H25" s="223"/>
      <c r="I25" s="52"/>
    </row>
    <row r="26" spans="1:12" ht="11.25" customHeight="1" x14ac:dyDescent="0.25">
      <c r="A26" s="476" t="s">
        <v>182</v>
      </c>
      <c r="B26" s="477"/>
      <c r="D26" s="123"/>
      <c r="E26" s="123"/>
      <c r="G26" s="47">
        <v>2021</v>
      </c>
      <c r="H26" s="47">
        <v>2022</v>
      </c>
      <c r="I26" s="52"/>
    </row>
    <row r="27" spans="1:12" ht="11.25" customHeight="1" x14ac:dyDescent="0.25">
      <c r="A27" s="476"/>
      <c r="B27" s="477"/>
      <c r="C27" s="4">
        <v>2022</v>
      </c>
      <c r="D27" s="123"/>
      <c r="E27" s="123"/>
      <c r="G27" s="62">
        <f>+G24</f>
        <v>18.276679492512475</v>
      </c>
      <c r="H27" s="53">
        <f>(G27*0.03)+G27</f>
        <v>18.824979877287848</v>
      </c>
      <c r="I27" s="52"/>
    </row>
    <row r="28" spans="1:12" ht="11.25" customHeight="1" x14ac:dyDescent="0.25">
      <c r="A28" s="476"/>
      <c r="B28" s="477"/>
      <c r="C28" t="s">
        <v>37</v>
      </c>
      <c r="D28" s="128">
        <f>+D21*1.03</f>
        <v>111458.15400000001</v>
      </c>
      <c r="E28" s="128">
        <f>+E21*1.03</f>
        <v>656728.92700000003</v>
      </c>
      <c r="F28" s="50">
        <f t="shared" ref="F28:F31" si="12">(D28/E28)*100</f>
        <v>16.971713810316142</v>
      </c>
      <c r="G28" s="53">
        <f>F28</f>
        <v>16.971713810316142</v>
      </c>
      <c r="H28" s="54">
        <f>+((G28-$G$27)/($H$27-$G$27))*100</f>
        <v>-238.00196360083677</v>
      </c>
      <c r="I28" s="52">
        <f>IF(H28&lt;50,0,IF(H28&gt;100,100,IF(H28&gt;50,H28,)))</f>
        <v>0</v>
      </c>
    </row>
    <row r="29" spans="1:12" ht="11.25" customHeight="1" x14ac:dyDescent="0.25">
      <c r="A29" s="476" t="s">
        <v>183</v>
      </c>
      <c r="B29" s="477"/>
      <c r="C29" t="s">
        <v>38</v>
      </c>
      <c r="D29" s="123">
        <f>+D28*2.06</f>
        <v>229603.79724000001</v>
      </c>
      <c r="E29" s="123">
        <f t="shared" ref="E29:E31" si="13">+E28*2</f>
        <v>1313457.8540000001</v>
      </c>
      <c r="F29" s="36">
        <f t="shared" si="12"/>
        <v>17.480865224625624</v>
      </c>
      <c r="G29" s="53">
        <f>F29</f>
        <v>17.480865224625624</v>
      </c>
      <c r="H29" s="54">
        <f t="shared" ref="H29:H31" si="14">+((G29-$G$27)/($H$27-$G$27))*100</f>
        <v>-145.14202250886214</v>
      </c>
      <c r="I29" s="52">
        <f>IF(H29&lt;50,0,IF(H29&gt;100,100,IF(H29&gt;50,H29,)))</f>
        <v>0</v>
      </c>
    </row>
    <row r="30" spans="1:12" ht="11.25" customHeight="1" x14ac:dyDescent="0.25">
      <c r="A30" s="476"/>
      <c r="B30" s="477"/>
      <c r="C30" t="s">
        <v>40</v>
      </c>
      <c r="D30" s="123">
        <f>+D29*2.06</f>
        <v>472983.82231440005</v>
      </c>
      <c r="E30" s="123">
        <f t="shared" si="13"/>
        <v>2626915.7080000001</v>
      </c>
      <c r="F30" s="36">
        <f t="shared" si="12"/>
        <v>18.005291181364395</v>
      </c>
      <c r="G30" s="53">
        <f>F30</f>
        <v>18.005291181364395</v>
      </c>
      <c r="H30" s="54">
        <f t="shared" si="14"/>
        <v>-49.49628318412752</v>
      </c>
      <c r="I30" s="52">
        <f>IF(H30&lt;50,0,IF(H30&gt;100,100,IF(H30&gt;50,H30,)))</f>
        <v>0</v>
      </c>
    </row>
    <row r="31" spans="1:12" ht="11.25" customHeight="1" x14ac:dyDescent="0.25">
      <c r="A31" s="476"/>
      <c r="B31" s="477"/>
      <c r="C31" t="s">
        <v>39</v>
      </c>
      <c r="D31" s="123">
        <f>+D30*2.08</f>
        <v>983806.35041395214</v>
      </c>
      <c r="E31" s="123">
        <f t="shared" si="13"/>
        <v>5253831.4160000002</v>
      </c>
      <c r="F31" s="36">
        <f t="shared" si="12"/>
        <v>18.725502828618971</v>
      </c>
      <c r="G31" s="53">
        <f>F31</f>
        <v>18.725502828618971</v>
      </c>
      <c r="H31" s="54">
        <f t="shared" si="14"/>
        <v>81.857198821840925</v>
      </c>
      <c r="I31" s="52">
        <f>IF(H31&lt;50,0,IF(H31&gt;100,100,IF(H31&gt;50,H31,)))</f>
        <v>81.857198821840925</v>
      </c>
    </row>
    <row r="32" spans="1:12" ht="11.25" customHeight="1" x14ac:dyDescent="0.25">
      <c r="A32" s="476" t="s">
        <v>184</v>
      </c>
      <c r="B32" s="477"/>
      <c r="C32" s="4"/>
    </row>
    <row r="33" spans="1:7" ht="11.25" customHeight="1" x14ac:dyDescent="0.25">
      <c r="A33" s="476"/>
      <c r="B33" s="477"/>
      <c r="C33" s="4"/>
    </row>
    <row r="34" spans="1:7" ht="11.25" customHeight="1" thickBot="1" x14ac:dyDescent="0.3">
      <c r="A34" s="478"/>
      <c r="B34" s="479"/>
      <c r="C34" s="4"/>
    </row>
    <row r="35" spans="1:7" ht="11.25" customHeight="1" x14ac:dyDescent="0.25">
      <c r="C35" s="4"/>
    </row>
    <row r="36" spans="1:7" ht="11.25" customHeight="1" x14ac:dyDescent="0.25">
      <c r="D36" s="27" t="s">
        <v>61</v>
      </c>
    </row>
    <row r="37" spans="1:7" ht="11.25" customHeight="1" x14ac:dyDescent="0.25"/>
    <row r="38" spans="1:7" ht="15.75" customHeight="1" x14ac:dyDescent="0.25"/>
    <row r="39" spans="1:7" ht="35.450000000000003" customHeight="1" x14ac:dyDescent="0.25">
      <c r="B39" s="475" t="s">
        <v>133</v>
      </c>
      <c r="C39" s="475"/>
      <c r="D39" s="475"/>
      <c r="E39" s="475"/>
      <c r="F39" s="475"/>
      <c r="G39" s="475"/>
    </row>
    <row r="40" spans="1:7" ht="32.450000000000003" customHeight="1" x14ac:dyDescent="0.25">
      <c r="B40" s="427" t="s">
        <v>28</v>
      </c>
      <c r="C40" s="427"/>
      <c r="D40" s="427"/>
      <c r="E40" s="427"/>
      <c r="F40" s="427"/>
      <c r="G40" s="427"/>
    </row>
    <row r="44" spans="1:7" x14ac:dyDescent="0.25">
      <c r="B44" s="4" t="s">
        <v>291</v>
      </c>
      <c r="C44" t="s">
        <v>310</v>
      </c>
    </row>
    <row r="45" spans="1:7" ht="30" x14ac:dyDescent="0.25">
      <c r="B45" s="229" t="s">
        <v>292</v>
      </c>
      <c r="C45" s="209" t="s">
        <v>293</v>
      </c>
      <c r="D45" s="225">
        <v>0.03</v>
      </c>
      <c r="E45" s="230" t="s">
        <v>295</v>
      </c>
      <c r="F45" t="s">
        <v>311</v>
      </c>
    </row>
    <row r="46" spans="1:7" x14ac:dyDescent="0.25">
      <c r="B46" s="228" t="s">
        <v>294</v>
      </c>
      <c r="C46" s="224">
        <v>295649920</v>
      </c>
      <c r="D46" s="224">
        <f>3%*C46</f>
        <v>8869497.5999999996</v>
      </c>
      <c r="E46" s="123">
        <v>237279111117</v>
      </c>
      <c r="F46" s="123">
        <f>[1]Consolidado!$E$43</f>
        <v>295636458</v>
      </c>
      <c r="G46" s="232">
        <f>C46/E46</f>
        <v>1.2460006218339968E-3</v>
      </c>
    </row>
    <row r="47" spans="1:7" x14ac:dyDescent="0.25">
      <c r="B47">
        <v>2019</v>
      </c>
      <c r="C47" s="224">
        <f>C46+D46</f>
        <v>304519417.60000002</v>
      </c>
      <c r="D47" s="224">
        <f t="shared" ref="D47:D49" si="15">3%*C47</f>
        <v>9135582.5280000009</v>
      </c>
      <c r="E47" s="123">
        <v>255070986008</v>
      </c>
      <c r="F47" s="123">
        <f>[1]Consolidado!$F$43</f>
        <v>683458427</v>
      </c>
      <c r="G47" s="232">
        <f t="shared" ref="G47:G50" si="16">C47/E47</f>
        <v>1.1938614515350999E-3</v>
      </c>
    </row>
    <row r="48" spans="1:7" x14ac:dyDescent="0.25">
      <c r="B48">
        <v>2020</v>
      </c>
      <c r="C48" s="224">
        <f t="shared" ref="C48:C49" si="17">C47+D47</f>
        <v>313655000.12800002</v>
      </c>
      <c r="D48" s="224">
        <f t="shared" si="15"/>
        <v>9409650.0038399994</v>
      </c>
      <c r="E48" s="123">
        <v>288968100698</v>
      </c>
      <c r="F48" s="123">
        <f>[1]Consolidado!$G$43</f>
        <v>1322134816</v>
      </c>
      <c r="G48" s="232">
        <f t="shared" si="16"/>
        <v>1.0854312270813596E-3</v>
      </c>
    </row>
    <row r="49" spans="2:7" x14ac:dyDescent="0.25">
      <c r="B49">
        <v>2021</v>
      </c>
      <c r="C49" s="224">
        <f t="shared" si="17"/>
        <v>323064650.13183999</v>
      </c>
      <c r="D49" s="224">
        <f t="shared" si="15"/>
        <v>9691939.5039551985</v>
      </c>
      <c r="G49" s="232" t="e">
        <f t="shared" si="16"/>
        <v>#DIV/0!</v>
      </c>
    </row>
    <row r="50" spans="2:7" x14ac:dyDescent="0.25">
      <c r="B50">
        <v>2022</v>
      </c>
      <c r="C50" s="224">
        <f t="shared" ref="C50" si="18">C49+D49</f>
        <v>332756589.63579518</v>
      </c>
      <c r="D50" s="224"/>
      <c r="G50" s="232" t="e">
        <f t="shared" si="16"/>
        <v>#DIV/0!</v>
      </c>
    </row>
    <row r="55" spans="2:7" x14ac:dyDescent="0.25">
      <c r="B55" s="4" t="s">
        <v>305</v>
      </c>
      <c r="E55" s="4" t="s">
        <v>306</v>
      </c>
      <c r="G55" s="235" t="s">
        <v>309</v>
      </c>
    </row>
    <row r="56" spans="2:7" x14ac:dyDescent="0.25">
      <c r="B56" s="212" t="s">
        <v>297</v>
      </c>
      <c r="E56" s="212" t="s">
        <v>307</v>
      </c>
      <c r="G56" s="212" t="s">
        <v>308</v>
      </c>
    </row>
    <row r="57" spans="2:7" x14ac:dyDescent="0.25">
      <c r="B57" t="s">
        <v>303</v>
      </c>
    </row>
    <row r="58" spans="2:7" x14ac:dyDescent="0.25">
      <c r="B58" t="s">
        <v>298</v>
      </c>
    </row>
    <row r="59" spans="2:7" x14ac:dyDescent="0.25">
      <c r="B59" t="s">
        <v>304</v>
      </c>
    </row>
    <row r="60" spans="2:7" x14ac:dyDescent="0.25">
      <c r="B60" t="s">
        <v>299</v>
      </c>
    </row>
    <row r="61" spans="2:7" x14ac:dyDescent="0.25">
      <c r="B61" t="s">
        <v>300</v>
      </c>
    </row>
    <row r="62" spans="2:7" x14ac:dyDescent="0.25">
      <c r="B62" t="s">
        <v>301</v>
      </c>
    </row>
    <row r="63" spans="2:7" x14ac:dyDescent="0.25">
      <c r="B63" t="s">
        <v>302</v>
      </c>
    </row>
    <row r="72" spans="1:9" x14ac:dyDescent="0.25">
      <c r="B72" s="451"/>
      <c r="C72" s="451"/>
      <c r="D72" s="451"/>
      <c r="E72" s="451"/>
      <c r="F72" s="451"/>
      <c r="G72" s="451"/>
      <c r="H72" s="451"/>
      <c r="I72" s="451"/>
    </row>
    <row r="73" spans="1:9" x14ac:dyDescent="0.25">
      <c r="B73" s="451"/>
      <c r="C73" s="451"/>
      <c r="D73" s="451"/>
      <c r="E73" s="451"/>
      <c r="F73" s="451"/>
      <c r="G73" s="451"/>
      <c r="H73" s="451"/>
      <c r="I73" s="451"/>
    </row>
    <row r="74" spans="1:9" ht="15.75" thickBot="1" x14ac:dyDescent="0.3"/>
    <row r="75" spans="1:9" x14ac:dyDescent="0.25">
      <c r="A75" t="s">
        <v>338</v>
      </c>
      <c r="B75" s="285" t="s">
        <v>339</v>
      </c>
      <c r="C75" s="286" t="s">
        <v>340</v>
      </c>
      <c r="D75" s="286" t="s">
        <v>341</v>
      </c>
      <c r="E75" s="286" t="s">
        <v>342</v>
      </c>
      <c r="F75" s="286" t="s">
        <v>343</v>
      </c>
      <c r="G75" s="286" t="s">
        <v>344</v>
      </c>
      <c r="H75" s="286" t="s">
        <v>345</v>
      </c>
      <c r="I75" s="287" t="s">
        <v>346</v>
      </c>
    </row>
    <row r="76" spans="1:9" x14ac:dyDescent="0.25">
      <c r="A76">
        <v>140</v>
      </c>
      <c r="B76" s="288" t="s">
        <v>347</v>
      </c>
      <c r="C76" s="289">
        <v>188049944.03</v>
      </c>
      <c r="D76" s="290">
        <v>1400318151.3699999</v>
      </c>
      <c r="E76" s="291">
        <v>0.13429087086104077</v>
      </c>
      <c r="F76" s="289">
        <v>2096517441</v>
      </c>
      <c r="G76" s="289">
        <v>1474792927</v>
      </c>
      <c r="H76" s="292">
        <v>281543152.92725068</v>
      </c>
      <c r="I76" s="293">
        <v>198051226.50653332</v>
      </c>
    </row>
    <row r="77" spans="1:9" x14ac:dyDescent="0.25">
      <c r="A77">
        <v>290</v>
      </c>
      <c r="B77" s="288" t="s">
        <v>348</v>
      </c>
      <c r="C77" s="289">
        <v>6179495.4699999997</v>
      </c>
      <c r="D77" s="294">
        <v>560676412.32000005</v>
      </c>
      <c r="E77" s="291">
        <v>1.1021500698469047E-2</v>
      </c>
      <c r="F77" s="289">
        <v>649475169</v>
      </c>
      <c r="G77" s="289">
        <v>1044229407</v>
      </c>
      <c r="H77" s="292">
        <v>7158191.0287718019</v>
      </c>
      <c r="I77" s="293">
        <v>11508975.138612418</v>
      </c>
    </row>
    <row r="78" spans="1:9" ht="15.75" thickBot="1" x14ac:dyDescent="0.3">
      <c r="A78">
        <v>130</v>
      </c>
      <c r="B78" s="295" t="s">
        <v>305</v>
      </c>
      <c r="C78" s="296">
        <v>101420480.40000001</v>
      </c>
      <c r="D78" s="297">
        <v>421219979.73000002</v>
      </c>
      <c r="E78" s="298">
        <v>0.24077794330888588</v>
      </c>
      <c r="F78" s="296">
        <v>357538238</v>
      </c>
      <c r="G78" s="296">
        <v>2077010486</v>
      </c>
      <c r="H78" s="299">
        <v>86087321.599922955</v>
      </c>
      <c r="I78" s="300">
        <v>500098313.05006951</v>
      </c>
    </row>
    <row r="81" spans="1:8" x14ac:dyDescent="0.25">
      <c r="E81" s="301" t="s">
        <v>349</v>
      </c>
      <c r="F81" s="302">
        <v>2018</v>
      </c>
      <c r="G81" s="302">
        <v>2019</v>
      </c>
      <c r="H81" s="302">
        <v>2020</v>
      </c>
    </row>
    <row r="82" spans="1:8" ht="30.75" thickBot="1" x14ac:dyDescent="0.3">
      <c r="E82" s="309" t="s">
        <v>354</v>
      </c>
      <c r="F82" s="308">
        <f>E4</f>
        <v>237279111117</v>
      </c>
      <c r="G82" s="308">
        <f>E10</f>
        <v>255070986008</v>
      </c>
      <c r="H82" s="308">
        <f>E16</f>
        <v>288968100698</v>
      </c>
    </row>
    <row r="83" spans="1:8" ht="30" customHeight="1" x14ac:dyDescent="0.25">
      <c r="A83" s="417" t="s">
        <v>359</v>
      </c>
      <c r="B83" s="418"/>
      <c r="C83" s="419"/>
      <c r="E83" s="303" t="s">
        <v>350</v>
      </c>
      <c r="F83" s="304">
        <f>D76+D77+D78</f>
        <v>2382214543.4200001</v>
      </c>
      <c r="G83" s="85">
        <f>SUM(F76:F78)</f>
        <v>3103530848</v>
      </c>
      <c r="H83" s="85">
        <f>SUM(G76:G78)</f>
        <v>4596032820</v>
      </c>
    </row>
    <row r="84" spans="1:8" ht="45" x14ac:dyDescent="0.25">
      <c r="A84" s="420"/>
      <c r="B84" s="421"/>
      <c r="C84" s="422"/>
      <c r="E84" s="303" t="s">
        <v>351</v>
      </c>
      <c r="F84" s="81">
        <f>SUM(C76:C78)</f>
        <v>295649919.89999998</v>
      </c>
      <c r="G84" s="305">
        <f>SUM(H76:H78)</f>
        <v>374788665.55594546</v>
      </c>
      <c r="H84" s="305">
        <f>SUM(I76:I78)</f>
        <v>709658514.69521523</v>
      </c>
    </row>
    <row r="85" spans="1:8" x14ac:dyDescent="0.25">
      <c r="A85" s="420"/>
      <c r="B85" s="421"/>
      <c r="C85" s="422"/>
      <c r="E85" s="306" t="s">
        <v>352</v>
      </c>
      <c r="F85" s="237" t="s">
        <v>353</v>
      </c>
      <c r="G85" s="305">
        <v>304505551.74000001</v>
      </c>
      <c r="H85" s="305">
        <v>313640718.29220003</v>
      </c>
    </row>
    <row r="86" spans="1:8" ht="45" x14ac:dyDescent="0.25">
      <c r="A86" s="420"/>
      <c r="B86" s="421"/>
      <c r="C86" s="422"/>
      <c r="E86" s="303" t="s">
        <v>355</v>
      </c>
      <c r="F86" s="237" t="s">
        <v>353</v>
      </c>
      <c r="G86" s="307">
        <f>G84/G85</f>
        <v>1.2308106154857767</v>
      </c>
      <c r="H86" s="307">
        <f>H84/H85</f>
        <v>2.2626479066856029</v>
      </c>
    </row>
    <row r="87" spans="1:8" ht="45" x14ac:dyDescent="0.25">
      <c r="A87" s="420"/>
      <c r="B87" s="421"/>
      <c r="C87" s="422"/>
      <c r="E87" s="310" t="s">
        <v>356</v>
      </c>
      <c r="F87" s="312">
        <f>F84/F82</f>
        <v>1.246000621412552E-3</v>
      </c>
      <c r="G87" s="312">
        <f t="shared" ref="G87:H87" si="19">G84/G82</f>
        <v>1.4693504401327349E-3</v>
      </c>
      <c r="H87" s="312">
        <f t="shared" si="19"/>
        <v>2.4558368656645529E-3</v>
      </c>
    </row>
    <row r="88" spans="1:8" ht="30" x14ac:dyDescent="0.4">
      <c r="A88" s="420"/>
      <c r="B88" s="421"/>
      <c r="C88" s="422"/>
      <c r="E88" s="310" t="s">
        <v>357</v>
      </c>
      <c r="F88" s="313"/>
      <c r="G88" s="314">
        <f>(G87-F87)/F87</f>
        <v>0.17925337666924929</v>
      </c>
      <c r="H88" s="315">
        <f>(H87-G87)/G87</f>
        <v>0.67137586690531303</v>
      </c>
    </row>
    <row r="89" spans="1:8" x14ac:dyDescent="0.25">
      <c r="A89" s="420"/>
      <c r="B89" s="421"/>
      <c r="C89" s="422"/>
    </row>
    <row r="90" spans="1:8" x14ac:dyDescent="0.25">
      <c r="A90" s="420"/>
      <c r="B90" s="421"/>
      <c r="C90" s="422"/>
    </row>
    <row r="91" spans="1:8" x14ac:dyDescent="0.25">
      <c r="A91" s="420"/>
      <c r="B91" s="421"/>
      <c r="C91" s="422"/>
    </row>
    <row r="92" spans="1:8" x14ac:dyDescent="0.25">
      <c r="A92" s="420"/>
      <c r="B92" s="421"/>
      <c r="C92" s="422"/>
    </row>
    <row r="93" spans="1:8" x14ac:dyDescent="0.25">
      <c r="A93" s="420"/>
      <c r="B93" s="421"/>
      <c r="C93" s="422"/>
    </row>
    <row r="94" spans="1:8" ht="15.75" thickBot="1" x14ac:dyDescent="0.3">
      <c r="A94" s="423"/>
      <c r="B94" s="424"/>
      <c r="C94" s="425"/>
    </row>
  </sheetData>
  <mergeCells count="8">
    <mergeCell ref="A83:C94"/>
    <mergeCell ref="B72:I73"/>
    <mergeCell ref="D2:F2"/>
    <mergeCell ref="B40:G40"/>
    <mergeCell ref="B39:G39"/>
    <mergeCell ref="A26:B28"/>
    <mergeCell ref="A29:B31"/>
    <mergeCell ref="A32:B34"/>
  </mergeCells>
  <pageMargins left="0.7" right="0.7" top="0.75" bottom="0.75" header="0.3" footer="0.3"/>
  <pageSetup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3"/>
  <sheetViews>
    <sheetView zoomScale="80" zoomScaleNormal="80" workbookViewId="0">
      <selection activeCell="K4" sqref="K4"/>
    </sheetView>
  </sheetViews>
  <sheetFormatPr baseColWidth="10" defaultColWidth="11.42578125" defaultRowHeight="15" x14ac:dyDescent="0.25"/>
  <cols>
    <col min="1" max="1" width="15.7109375" customWidth="1"/>
    <col min="2" max="2" width="68.7109375" customWidth="1"/>
    <col min="3" max="3" width="7.140625" bestFit="1" customWidth="1"/>
    <col min="4" max="4" width="6.28515625" customWidth="1"/>
    <col min="5" max="7" width="8" bestFit="1" customWidth="1"/>
    <col min="8" max="8" width="6.5703125" bestFit="1" customWidth="1"/>
    <col min="9" max="9" width="8" bestFit="1" customWidth="1"/>
    <col min="10" max="10" width="6.42578125" customWidth="1"/>
    <col min="11" max="11" width="8" bestFit="1" customWidth="1"/>
    <col min="12" max="12" width="8.140625" customWidth="1"/>
    <col min="13" max="15" width="8" bestFit="1" customWidth="1"/>
    <col min="16" max="16" width="7.85546875" bestFit="1" customWidth="1"/>
    <col min="17" max="19" width="8" bestFit="1" customWidth="1"/>
  </cols>
  <sheetData>
    <row r="1" spans="1:19" x14ac:dyDescent="0.25">
      <c r="A1" t="s">
        <v>134</v>
      </c>
      <c r="D1" s="480" t="s">
        <v>41</v>
      </c>
      <c r="E1" s="481"/>
      <c r="F1" s="481"/>
      <c r="G1" s="482"/>
      <c r="H1" s="480" t="s">
        <v>42</v>
      </c>
      <c r="I1" s="481"/>
      <c r="J1" s="481"/>
      <c r="K1" s="482"/>
      <c r="L1" s="480" t="s">
        <v>43</v>
      </c>
      <c r="M1" s="481"/>
      <c r="N1" s="481"/>
      <c r="O1" s="482"/>
      <c r="P1" s="480" t="s">
        <v>44</v>
      </c>
      <c r="Q1" s="481"/>
      <c r="R1" s="481"/>
      <c r="S1" s="482"/>
    </row>
    <row r="2" spans="1:19" ht="22.5" x14ac:dyDescent="0.25">
      <c r="C2" s="59" t="s">
        <v>154</v>
      </c>
      <c r="D2" s="60" t="s">
        <v>135</v>
      </c>
      <c r="E2" s="33" t="s">
        <v>136</v>
      </c>
      <c r="F2" s="33" t="s">
        <v>137</v>
      </c>
      <c r="G2" s="61" t="s">
        <v>138</v>
      </c>
      <c r="H2" s="60" t="s">
        <v>139</v>
      </c>
      <c r="I2" s="33" t="s">
        <v>140</v>
      </c>
      <c r="J2" s="33" t="s">
        <v>141</v>
      </c>
      <c r="K2" s="61" t="s">
        <v>142</v>
      </c>
      <c r="L2" s="60" t="s">
        <v>143</v>
      </c>
      <c r="M2" s="33" t="s">
        <v>144</v>
      </c>
      <c r="N2" s="33" t="s">
        <v>145</v>
      </c>
      <c r="O2" s="61" t="s">
        <v>146</v>
      </c>
      <c r="P2" s="60" t="s">
        <v>147</v>
      </c>
      <c r="Q2" s="33" t="s">
        <v>148</v>
      </c>
      <c r="R2" s="33" t="s">
        <v>149</v>
      </c>
      <c r="S2" s="61" t="s">
        <v>150</v>
      </c>
    </row>
    <row r="3" spans="1:19" x14ac:dyDescent="0.25">
      <c r="A3" t="s">
        <v>30</v>
      </c>
      <c r="B3" s="56" t="str">
        <f>'ind 1'!A4</f>
        <v>Población con empleo pleno</v>
      </c>
      <c r="C3">
        <f>'ind 1'!H4</f>
        <v>37.200000000000003</v>
      </c>
      <c r="D3" s="103">
        <f>'ind 1'!H5</f>
        <v>37.533577533577535</v>
      </c>
      <c r="E3" s="104">
        <f>'ind 1'!H6</f>
        <v>37.65415549597855</v>
      </c>
      <c r="F3" s="104">
        <f>'ind 1'!H7</f>
        <v>37.804522246535377</v>
      </c>
      <c r="G3" s="105">
        <f>'ind 1'!H8</f>
        <v>38.029312015503876</v>
      </c>
      <c r="H3" s="103">
        <f>'ind 1'!H12</f>
        <v>38.205917874396135</v>
      </c>
      <c r="I3" s="104">
        <f>'ind 1'!H13</f>
        <v>38.383309248554916</v>
      </c>
      <c r="J3" s="104">
        <f>'ind 1'!H14</f>
        <v>38.559678194044189</v>
      </c>
      <c r="K3" s="105">
        <f>'ind 1'!H15</f>
        <v>38.735632183908045</v>
      </c>
      <c r="L3" s="103">
        <f>'ind 1'!H19</f>
        <v>38.872731614135624</v>
      </c>
      <c r="M3" s="104">
        <f>'ind 1'!H20</f>
        <v>39.08969783487985</v>
      </c>
      <c r="N3" s="104">
        <f>'ind 1'!H21</f>
        <v>39.164058795637743</v>
      </c>
      <c r="O3" s="105">
        <f>'ind 1'!H22</f>
        <v>39.378454996456412</v>
      </c>
      <c r="P3" s="103">
        <f>'ind 1'!H25</f>
        <v>40.200188634755953</v>
      </c>
      <c r="Q3" s="104">
        <f>'ind 1'!H26</f>
        <v>40.294618637833267</v>
      </c>
      <c r="R3" s="104">
        <f>'ind 1'!H27</f>
        <v>40.389048284656319</v>
      </c>
      <c r="S3" s="105">
        <f>'ind 1'!H28</f>
        <v>40.398592415416658</v>
      </c>
    </row>
    <row r="4" spans="1:19" x14ac:dyDescent="0.25">
      <c r="B4" t="s">
        <v>151</v>
      </c>
      <c r="D4" s="103">
        <f>'ind 1'!I5</f>
        <v>41.697191697191698</v>
      </c>
      <c r="E4" s="104">
        <f>'ind 1'!I6</f>
        <v>56.7694369973186</v>
      </c>
      <c r="F4" s="104">
        <f>'ind 1'!I7</f>
        <v>75.565280816922083</v>
      </c>
      <c r="G4" s="105">
        <f>'ind 1'!I8</f>
        <v>103.66400193798458</v>
      </c>
      <c r="H4" s="103">
        <f>'ind 1'!I12</f>
        <v>22.915351276395558</v>
      </c>
      <c r="I4" s="104">
        <f>'ind 1'!I13</f>
        <v>45.932626454853121</v>
      </c>
      <c r="J4" s="104">
        <f>'ind 1'!I14</f>
        <v>68.817237223059607</v>
      </c>
      <c r="K4" s="105">
        <f>'ind 1'!I15</f>
        <v>91.648005757604224</v>
      </c>
      <c r="L4" s="103">
        <f>'ind 1'!I19</f>
        <v>15.861237273669335</v>
      </c>
      <c r="M4" s="104">
        <f>'ind 1'!I20</f>
        <v>40.962382492748581</v>
      </c>
      <c r="N4" s="104">
        <f>'ind 1'!I21</f>
        <v>49.565312793196306</v>
      </c>
      <c r="O4" s="105">
        <f>'ind 1'!I22</f>
        <v>74.369128579398648</v>
      </c>
      <c r="P4" s="103">
        <f>'ind 1'!I25</f>
        <v>80.440277760555873</v>
      </c>
      <c r="Q4" s="104">
        <f>'ind 1'!I26</f>
        <v>89.684119465987351</v>
      </c>
      <c r="R4" s="104">
        <f>'ind 1'!I27</f>
        <v>98.927926297354503</v>
      </c>
      <c r="S4" s="105">
        <f>'ind 1'!I28</f>
        <v>99.862210222901808</v>
      </c>
    </row>
    <row r="5" spans="1:19" x14ac:dyDescent="0.25">
      <c r="B5" t="s">
        <v>152</v>
      </c>
      <c r="D5" s="103">
        <f>'ind 1'!$J5</f>
        <v>0</v>
      </c>
      <c r="E5" s="104">
        <f>'ind 1'!$J6</f>
        <v>56.7694369973186</v>
      </c>
      <c r="F5" s="104">
        <f>'ind 1'!$J7</f>
        <v>75.565280816922083</v>
      </c>
      <c r="G5" s="105">
        <f>'ind 1'!$J8</f>
        <v>100</v>
      </c>
      <c r="H5" s="103">
        <f>'ind 1'!$J12</f>
        <v>0</v>
      </c>
      <c r="I5" s="104">
        <f>'ind 1'!$J13</f>
        <v>0</v>
      </c>
      <c r="J5" s="104">
        <f>'ind 1'!$J14</f>
        <v>68.817237223059607</v>
      </c>
      <c r="K5" s="105">
        <f>'ind 1'!$J15</f>
        <v>91.648005757604224</v>
      </c>
      <c r="L5" s="103">
        <f>'ind 1'!$J19</f>
        <v>0</v>
      </c>
      <c r="M5" s="104">
        <f>'ind 1'!$J120</f>
        <v>0</v>
      </c>
      <c r="N5" s="104">
        <f>'ind 1'!$J21</f>
        <v>0</v>
      </c>
      <c r="O5" s="105">
        <f>'ind 1'!$J22</f>
        <v>74.369128579398648</v>
      </c>
      <c r="P5" s="103">
        <f>'ind 1'!$J25</f>
        <v>80.440277760555873</v>
      </c>
      <c r="Q5" s="104">
        <f>'ind 1'!$J26</f>
        <v>89.684119465987351</v>
      </c>
      <c r="R5" s="104">
        <f>'ind 1'!$J27</f>
        <v>98.927926297354503</v>
      </c>
      <c r="S5" s="105">
        <f>'ind 1'!$J28</f>
        <v>99.862210222901808</v>
      </c>
    </row>
    <row r="6" spans="1:19" x14ac:dyDescent="0.25">
      <c r="D6" s="106"/>
      <c r="E6" s="107"/>
      <c r="F6" s="107"/>
      <c r="G6" s="108"/>
      <c r="H6" s="106"/>
      <c r="I6" s="107"/>
      <c r="J6" s="107"/>
      <c r="K6" s="108"/>
      <c r="L6" s="106"/>
      <c r="M6" s="107"/>
      <c r="N6" s="107"/>
      <c r="O6" s="108"/>
      <c r="P6" s="106"/>
      <c r="Q6" s="107"/>
      <c r="R6" s="107"/>
      <c r="S6" s="108"/>
    </row>
    <row r="7" spans="1:19" ht="24.75" x14ac:dyDescent="0.25">
      <c r="A7" t="str">
        <f>'ind 2'!A3</f>
        <v>Indicador 2</v>
      </c>
      <c r="B7" s="57" t="str">
        <f>'ind 2'!A4</f>
        <v>Proporción de población asalariada inscrita en la Seguridad Social en relación al total de la  población asalariada</v>
      </c>
      <c r="C7" s="52">
        <f>'ind 2'!$G4</f>
        <v>41.660056188193771</v>
      </c>
      <c r="D7" s="106">
        <f>'ind 2'!$G5</f>
        <v>41.8848167539267</v>
      </c>
      <c r="E7" s="107">
        <f>'ind 2'!$G6</f>
        <v>42.16583834684802</v>
      </c>
      <c r="F7" s="107">
        <f>'ind 2'!$G7</f>
        <v>42.435327933106869</v>
      </c>
      <c r="G7" s="108">
        <f>'ind 2'!$G8</f>
        <v>42.599843382928739</v>
      </c>
      <c r="H7" s="106">
        <f>'ind 2'!$G11</f>
        <v>42.659713168187743</v>
      </c>
      <c r="I7" s="107">
        <f>'ind 2'!$G12</f>
        <v>42.927845793175308</v>
      </c>
      <c r="J7" s="107">
        <f>'ind 2'!$G13</f>
        <v>43.195420244600577</v>
      </c>
      <c r="K7" s="108">
        <f>'ind 2'!$G14</f>
        <v>43.462438263582008</v>
      </c>
      <c r="L7" s="106">
        <f>'ind 2'!$G18</f>
        <v>43.417294209296287</v>
      </c>
      <c r="M7" s="107">
        <f>'ind 2'!$G19</f>
        <v>43.683527885862517</v>
      </c>
      <c r="N7" s="107">
        <f>'ind 2'!$G20</f>
        <v>44.052863436123346</v>
      </c>
      <c r="O7" s="108">
        <f>'ind 2'!$G21</f>
        <v>44.421434118560704</v>
      </c>
      <c r="P7" s="109">
        <f>'ind 2'!$G24</f>
        <v>44.272045513317813</v>
      </c>
      <c r="Q7" s="107">
        <f>'ind 2'!$G25</f>
        <v>44.536295530870582</v>
      </c>
      <c r="R7" s="107">
        <f>'ind 2'!$G26</f>
        <v>44.800000000000004</v>
      </c>
      <c r="S7" s="108">
        <f>'ind 2'!$G27</f>
        <v>45.063160608404232</v>
      </c>
    </row>
    <row r="8" spans="1:19" x14ac:dyDescent="0.25">
      <c r="B8" t="s">
        <v>151</v>
      </c>
      <c r="D8" s="103">
        <f>'ind 2'!$H5</f>
        <v>23.912127821876989</v>
      </c>
      <c r="E8" s="104">
        <f>'ind 2'!$H6</f>
        <v>53.809829087796125</v>
      </c>
      <c r="F8" s="104">
        <f>'ind 2'!$H7</f>
        <v>82.480647797798426</v>
      </c>
      <c r="G8" s="105">
        <f>'ind 2'!$H8</f>
        <v>99.983337613451468</v>
      </c>
      <c r="H8" s="103">
        <f>'ind 2'!$H11</f>
        <v>6.6510409548279723</v>
      </c>
      <c r="I8" s="104">
        <f>'ind 2'!$H12</f>
        <v>36.438371281850237</v>
      </c>
      <c r="J8" s="104">
        <f>'ind 2'!$H13</f>
        <v>66.163693114826998</v>
      </c>
      <c r="K8" s="105">
        <f>'ind 2'!$H14</f>
        <v>95.827199877705496</v>
      </c>
      <c r="L8" s="103">
        <f>'ind 2'!$H18</f>
        <v>-4.8150487090265486</v>
      </c>
      <c r="M8" s="104">
        <f>'ind 2'!$H19</f>
        <v>23.581340160616506</v>
      </c>
      <c r="N8" s="104">
        <f>'ind 2'!$H20</f>
        <v>62.97453806051125</v>
      </c>
      <c r="O8" s="105">
        <f>'ind 2'!$H21</f>
        <v>102.28615543149144</v>
      </c>
      <c r="P8" s="103">
        <f>'ind 2'!$H24</f>
        <v>-17.003688442596658</v>
      </c>
      <c r="Q8" s="104">
        <f>'ind 2'!$H25</f>
        <v>13.07373923076875</v>
      </c>
      <c r="R8" s="104">
        <f>'ind 2'!$H26</f>
        <v>43.08907156958135</v>
      </c>
      <c r="S8" s="105">
        <f>'ind 2'!$H27</f>
        <v>73.042500670778622</v>
      </c>
    </row>
    <row r="9" spans="1:19" x14ac:dyDescent="0.25">
      <c r="B9" t="s">
        <v>153</v>
      </c>
      <c r="D9" s="103">
        <f>'ind 2'!$I5</f>
        <v>0</v>
      </c>
      <c r="E9" s="104">
        <f>'ind 2'!$I6</f>
        <v>53.809829087796125</v>
      </c>
      <c r="F9" s="104">
        <f>'ind 2'!$I7</f>
        <v>82.480647797798426</v>
      </c>
      <c r="G9" s="105">
        <f>'ind 2'!$I8</f>
        <v>99.983337613451468</v>
      </c>
      <c r="H9" s="103">
        <f>'ind 2'!$I11</f>
        <v>0</v>
      </c>
      <c r="I9" s="104">
        <f>'ind 2'!$I12</f>
        <v>0</v>
      </c>
      <c r="J9" s="104">
        <f>'ind 2'!$I13</f>
        <v>66.163693114826998</v>
      </c>
      <c r="K9" s="105">
        <f>'ind 2'!$I14</f>
        <v>95.827199877705496</v>
      </c>
      <c r="L9" s="103">
        <f>'ind 2'!$I18</f>
        <v>0</v>
      </c>
      <c r="M9" s="104">
        <f>'ind 2'!$I19</f>
        <v>0</v>
      </c>
      <c r="N9" s="104">
        <f>'ind 2'!$I20</f>
        <v>62.97453806051125</v>
      </c>
      <c r="O9" s="105">
        <f>'ind 2'!$I21</f>
        <v>100</v>
      </c>
      <c r="P9" s="103">
        <f>'ind 2'!$I24</f>
        <v>0</v>
      </c>
      <c r="Q9" s="104">
        <f>'ind 2'!$I25</f>
        <v>0</v>
      </c>
      <c r="R9" s="104">
        <f>'ind 2'!$I26</f>
        <v>0</v>
      </c>
      <c r="S9" s="105">
        <f>'ind 2'!$I27</f>
        <v>73.042500670778622</v>
      </c>
    </row>
    <row r="10" spans="1:19" x14ac:dyDescent="0.25">
      <c r="D10" s="106"/>
      <c r="E10" s="107"/>
      <c r="F10" s="107"/>
      <c r="G10" s="108"/>
      <c r="H10" s="106"/>
      <c r="I10" s="107"/>
      <c r="J10" s="107"/>
      <c r="K10" s="108"/>
      <c r="L10" s="106"/>
      <c r="M10" s="107"/>
      <c r="N10" s="107"/>
      <c r="O10" s="108"/>
      <c r="P10" s="106"/>
      <c r="Q10" s="107"/>
      <c r="R10" s="107"/>
      <c r="S10" s="108"/>
    </row>
    <row r="11" spans="1:19" x14ac:dyDescent="0.25">
      <c r="A11" t="str">
        <f>'ind 3'!A3</f>
        <v>Indicador 3</v>
      </c>
      <c r="B11" s="57" t="str">
        <f>'ind 3'!A4</f>
        <v>Marco regulatorio del Sistema Nacional de Formación Profesional revisado y fortalecido</v>
      </c>
      <c r="C11" s="46" t="s">
        <v>220</v>
      </c>
      <c r="D11" s="106">
        <f>'ind 3'!$E5</f>
        <v>25</v>
      </c>
      <c r="E11" s="107">
        <f>'ind 3'!$E6</f>
        <v>50</v>
      </c>
      <c r="F11" s="107">
        <f>'ind 3'!$E7</f>
        <v>75</v>
      </c>
      <c r="G11" s="108">
        <f>'ind 3'!$E8</f>
        <v>100</v>
      </c>
      <c r="H11" s="106">
        <f>'ind 3'!$E11</f>
        <v>25</v>
      </c>
      <c r="I11" s="107">
        <f>'ind 3'!$E12</f>
        <v>50</v>
      </c>
      <c r="J11" s="107">
        <f>'ind 3'!$E13</f>
        <v>75</v>
      </c>
      <c r="K11" s="108">
        <f>'ind 3'!$E14</f>
        <v>100</v>
      </c>
      <c r="L11" s="110">
        <f>'ind 3'!$E19</f>
        <v>2</v>
      </c>
      <c r="M11" s="111">
        <f>'ind 3'!$E20</f>
        <v>4</v>
      </c>
      <c r="N11" s="111">
        <f>'ind 3'!$E21</f>
        <v>6</v>
      </c>
      <c r="O11" s="112">
        <f>'ind 3'!$E22</f>
        <v>8</v>
      </c>
      <c r="P11" s="110">
        <f>'ind 3'!$E25</f>
        <v>2</v>
      </c>
      <c r="Q11" s="111">
        <f>'ind 3'!$E26</f>
        <v>4</v>
      </c>
      <c r="R11" s="111">
        <f>'ind 3'!$E27</f>
        <v>6</v>
      </c>
      <c r="S11" s="112">
        <f>'ind 3'!$E28</f>
        <v>8</v>
      </c>
    </row>
    <row r="12" spans="1:19" x14ac:dyDescent="0.25">
      <c r="B12" t="s">
        <v>151</v>
      </c>
      <c r="D12" s="103">
        <f>'ind 3'!$F5</f>
        <v>25</v>
      </c>
      <c r="E12" s="104">
        <f>'ind 3'!$F6</f>
        <v>50</v>
      </c>
      <c r="F12" s="104">
        <f>'ind 3'!$F7</f>
        <v>75</v>
      </c>
      <c r="G12" s="105">
        <f>'ind 3'!$F8</f>
        <v>100</v>
      </c>
      <c r="H12" s="103">
        <f>'ind 3'!$F11</f>
        <v>25</v>
      </c>
      <c r="I12" s="104">
        <f>'ind 3'!$F12</f>
        <v>50</v>
      </c>
      <c r="J12" s="104">
        <f>'ind 3'!$F13</f>
        <v>75</v>
      </c>
      <c r="K12" s="105">
        <f>'ind 3'!$F14</f>
        <v>100</v>
      </c>
      <c r="L12" s="103">
        <f>'ind 3'!$F19</f>
        <v>2</v>
      </c>
      <c r="M12" s="104">
        <f>'ind 3'!$F20</f>
        <v>4</v>
      </c>
      <c r="N12" s="104">
        <f>'ind 3'!$F21</f>
        <v>6</v>
      </c>
      <c r="O12" s="105">
        <f>'ind 3'!$F22</f>
        <v>8</v>
      </c>
      <c r="P12" s="103">
        <f>'ind 3'!$F25</f>
        <v>2</v>
      </c>
      <c r="Q12" s="104">
        <f>'ind 3'!$F26</f>
        <v>4</v>
      </c>
      <c r="R12" s="104">
        <f>'ind 3'!$F27</f>
        <v>6</v>
      </c>
      <c r="S12" s="105">
        <f>'ind 3'!$F28</f>
        <v>8</v>
      </c>
    </row>
    <row r="13" spans="1:19" x14ac:dyDescent="0.25">
      <c r="B13" t="s">
        <v>153</v>
      </c>
      <c r="D13" s="103">
        <f>'ind 3'!$G5</f>
        <v>0</v>
      </c>
      <c r="E13" s="104">
        <f>'ind 3'!$G6</f>
        <v>50</v>
      </c>
      <c r="F13" s="104">
        <f>'ind 3'!$G7</f>
        <v>50</v>
      </c>
      <c r="G13" s="105">
        <f>'ind 3'!$G8</f>
        <v>100</v>
      </c>
      <c r="H13" s="103">
        <f>'ind 3'!$G11</f>
        <v>0</v>
      </c>
      <c r="I13" s="104">
        <f>'ind 3'!$G12</f>
        <v>50</v>
      </c>
      <c r="J13" s="104">
        <f>'ind 3'!$G13</f>
        <v>50</v>
      </c>
      <c r="K13" s="105">
        <f>'ind 3'!$G14</f>
        <v>100</v>
      </c>
      <c r="L13" s="103">
        <f>'ind 3'!$G19</f>
        <v>25</v>
      </c>
      <c r="M13" s="104">
        <f>'ind 3'!$G20</f>
        <v>50</v>
      </c>
      <c r="N13" s="104">
        <f>'ind 3'!$G21</f>
        <v>75</v>
      </c>
      <c r="O13" s="105">
        <f>'ind 3'!$G22</f>
        <v>100</v>
      </c>
      <c r="P13" s="103">
        <f>'ind 3'!$G25</f>
        <v>25</v>
      </c>
      <c r="Q13" s="104">
        <f>'ind 3'!$G26</f>
        <v>50</v>
      </c>
      <c r="R13" s="104">
        <f>'ind 3'!$G27</f>
        <v>75</v>
      </c>
      <c r="S13" s="105">
        <f>'ind 3'!$G28</f>
        <v>100</v>
      </c>
    </row>
    <row r="14" spans="1:19" x14ac:dyDescent="0.25">
      <c r="D14" s="106"/>
      <c r="E14" s="107"/>
      <c r="F14" s="107"/>
      <c r="G14" s="108"/>
      <c r="H14" s="106"/>
      <c r="I14" s="107"/>
      <c r="J14" s="107"/>
      <c r="K14" s="108"/>
      <c r="L14" s="106"/>
      <c r="M14" s="107"/>
      <c r="N14" s="107"/>
      <c r="O14" s="108"/>
      <c r="P14" s="106"/>
      <c r="Q14" s="107"/>
      <c r="R14" s="107"/>
      <c r="S14" s="108"/>
    </row>
    <row r="15" spans="1:19" ht="24.75" x14ac:dyDescent="0.25">
      <c r="A15" t="str">
        <f>'ind 4'!A3</f>
        <v>Indicador 4</v>
      </c>
      <c r="B15" s="57" t="str">
        <f>'ind 4'!A4</f>
        <v>Porcentaje de población formada y certificada en el Sistema Nacional de Formación Profesional</v>
      </c>
      <c r="C15" s="46">
        <v>0</v>
      </c>
      <c r="D15" s="106">
        <f>'ind 4'!$I5</f>
        <v>0</v>
      </c>
      <c r="E15" s="107">
        <f>'ind 4'!$I6</f>
        <v>0</v>
      </c>
      <c r="F15" s="107">
        <f>'ind 4'!$I7</f>
        <v>0</v>
      </c>
      <c r="G15" s="108">
        <f>'ind 4'!$I8</f>
        <v>1</v>
      </c>
      <c r="H15" s="106">
        <f>'ind 4'!$I11</f>
        <v>1999</v>
      </c>
      <c r="I15" s="107">
        <f>'ind 4'!$I12</f>
        <v>2500</v>
      </c>
      <c r="J15" s="107">
        <f>'ind 4'!$I13</f>
        <v>2600</v>
      </c>
      <c r="K15" s="108">
        <f>'ind 4'!$I14</f>
        <v>2800</v>
      </c>
      <c r="L15" s="106">
        <f>'ind 4'!$I18</f>
        <v>3000</v>
      </c>
      <c r="M15" s="107">
        <f>'ind 4'!$I19</f>
        <v>3500</v>
      </c>
      <c r="N15" s="107">
        <f>'ind 4'!$I20</f>
        <v>3500</v>
      </c>
      <c r="O15" s="108">
        <f>'ind 4'!$I21</f>
        <v>3500</v>
      </c>
      <c r="P15" s="106">
        <f>'ind 4'!$I24</f>
        <v>4000</v>
      </c>
      <c r="Q15" s="107">
        <f>'ind 4'!$I25</f>
        <v>4500</v>
      </c>
      <c r="R15" s="107">
        <f>'ind 4'!$I26</f>
        <v>5000</v>
      </c>
      <c r="S15" s="108">
        <f>'ind 4'!$I27</f>
        <v>5500</v>
      </c>
    </row>
    <row r="16" spans="1:19" x14ac:dyDescent="0.25">
      <c r="B16" t="s">
        <v>151</v>
      </c>
      <c r="D16" s="103">
        <f>'ind 4'!$J5</f>
        <v>0</v>
      </c>
      <c r="E16" s="104">
        <f>'ind 4'!$J6</f>
        <v>0</v>
      </c>
      <c r="F16" s="104">
        <f>'ind 4'!$J7</f>
        <v>0</v>
      </c>
      <c r="G16" s="105">
        <f>'ind 4'!$J8</f>
        <v>1</v>
      </c>
      <c r="H16" s="103">
        <f>'ind 4'!$J11</f>
        <v>49.975000000000001</v>
      </c>
      <c r="I16" s="104">
        <f>'ind 4'!$J12</f>
        <v>62.5</v>
      </c>
      <c r="J16" s="104">
        <f>'ind 4'!$J13</f>
        <v>65</v>
      </c>
      <c r="K16" s="105">
        <f>'ind 4'!$J14</f>
        <v>70</v>
      </c>
      <c r="L16" s="103">
        <f>'ind 4'!$J18</f>
        <v>50</v>
      </c>
      <c r="M16" s="104">
        <f>'ind 4'!$J19</f>
        <v>58.333333333333336</v>
      </c>
      <c r="N16" s="104">
        <f>'ind 4'!$J20</f>
        <v>58.333333333333336</v>
      </c>
      <c r="O16" s="105">
        <f>'ind 4'!$J21</f>
        <v>58.333333333333336</v>
      </c>
      <c r="P16" s="103">
        <f>'ind 4'!$J24</f>
        <v>50</v>
      </c>
      <c r="Q16" s="104">
        <f>'ind 4'!$J25</f>
        <v>56.25</v>
      </c>
      <c r="R16" s="104">
        <f>'ind 4'!$J26</f>
        <v>62.5</v>
      </c>
      <c r="S16" s="105">
        <f>'ind 4'!$J27</f>
        <v>68.75</v>
      </c>
    </row>
    <row r="17" spans="1:19" x14ac:dyDescent="0.25">
      <c r="B17" t="s">
        <v>153</v>
      </c>
      <c r="D17" s="103">
        <f>'ind 4'!$K5</f>
        <v>0</v>
      </c>
      <c r="E17" s="104">
        <f>'ind 4'!$K6</f>
        <v>0</v>
      </c>
      <c r="F17" s="104">
        <f>'ind 4'!$K7</f>
        <v>0</v>
      </c>
      <c r="G17" s="105">
        <f>'ind 4'!$K8</f>
        <v>100</v>
      </c>
      <c r="H17" s="146">
        <f>'ind 4'!$K11</f>
        <v>0</v>
      </c>
      <c r="I17" s="104">
        <f>'ind 4'!$K12</f>
        <v>62.5</v>
      </c>
      <c r="J17" s="104">
        <f>'ind 4'!$K13</f>
        <v>65</v>
      </c>
      <c r="K17" s="105">
        <f>'ind 4'!$K14</f>
        <v>70</v>
      </c>
      <c r="L17" s="103">
        <f>'ind 4'!$K18</f>
        <v>50</v>
      </c>
      <c r="M17" s="104">
        <f>'ind 4'!$K19</f>
        <v>58.333333333333336</v>
      </c>
      <c r="N17" s="104">
        <f>'ind 4'!$K20</f>
        <v>58.333333333333336</v>
      </c>
      <c r="O17" s="105">
        <f>'ind 4'!$K21</f>
        <v>58.333333333333336</v>
      </c>
      <c r="P17" s="103">
        <f>'ind 4'!$K24</f>
        <v>50</v>
      </c>
      <c r="Q17" s="104">
        <f>'ind 4'!$K25</f>
        <v>56.25</v>
      </c>
      <c r="R17" s="104">
        <f>'ind 4'!$K26</f>
        <v>62.5</v>
      </c>
      <c r="S17" s="105">
        <f>'ind 4'!$K27</f>
        <v>68.75</v>
      </c>
    </row>
    <row r="18" spans="1:19" ht="7.35" customHeight="1" x14ac:dyDescent="0.25">
      <c r="D18" s="106"/>
      <c r="E18" s="107"/>
      <c r="F18" s="107"/>
      <c r="G18" s="108"/>
      <c r="H18" s="106"/>
      <c r="I18" s="107"/>
      <c r="J18" s="107"/>
      <c r="K18" s="108"/>
      <c r="L18" s="106"/>
      <c r="M18" s="107"/>
      <c r="N18" s="107"/>
      <c r="O18" s="108"/>
      <c r="P18" s="106"/>
      <c r="Q18" s="107"/>
      <c r="R18" s="107"/>
      <c r="S18" s="108"/>
    </row>
    <row r="19" spans="1:19" x14ac:dyDescent="0.25">
      <c r="A19" t="str">
        <f>'ind 5'!A4</f>
        <v>Indicador 5</v>
      </c>
      <c r="B19" s="57" t="str">
        <f>'ind 5'!A5</f>
        <v xml:space="preserve">Nivel de avance en la simplificación de los procesos de registro y operación de las MiPYME. </v>
      </c>
      <c r="C19" s="145"/>
      <c r="D19" s="106">
        <f>'ind 5'!$E6</f>
        <v>0</v>
      </c>
      <c r="E19" s="107">
        <f>'ind 5'!$E7</f>
        <v>0</v>
      </c>
      <c r="F19" s="107">
        <f>'ind 5'!$E8</f>
        <v>0</v>
      </c>
      <c r="G19" s="108">
        <f>'ind 5'!$E9</f>
        <v>1</v>
      </c>
      <c r="H19" s="106">
        <f>'ind 5'!$E12</f>
        <v>0</v>
      </c>
      <c r="I19" s="107">
        <f>'ind 5'!$E13</f>
        <v>50</v>
      </c>
      <c r="J19" s="107">
        <f>'ind 5'!$E14</f>
        <v>50</v>
      </c>
      <c r="K19" s="108">
        <f>'ind 5'!$E15</f>
        <v>100</v>
      </c>
      <c r="L19" s="106">
        <f>'ind 5'!$E20</f>
        <v>0</v>
      </c>
      <c r="M19" s="107">
        <f>'ind 5'!$E21</f>
        <v>0</v>
      </c>
      <c r="N19" s="107">
        <f>'ind 5'!$E22</f>
        <v>0</v>
      </c>
      <c r="O19" s="108">
        <f>'ind 5'!$E23</f>
        <v>1</v>
      </c>
      <c r="P19" s="106">
        <f>'ind 5'!$E26</f>
        <v>0</v>
      </c>
      <c r="Q19" s="107">
        <f>'ind 5'!$E27</f>
        <v>50</v>
      </c>
      <c r="R19" s="107">
        <f>'ind 5'!$E28</f>
        <v>50</v>
      </c>
      <c r="S19" s="108">
        <f>'ind 5'!$E29</f>
        <v>100</v>
      </c>
    </row>
    <row r="20" spans="1:19" x14ac:dyDescent="0.25">
      <c r="B20" t="s">
        <v>151</v>
      </c>
      <c r="D20" s="103">
        <f>'ind 5'!$F6</f>
        <v>0</v>
      </c>
      <c r="E20" s="104">
        <f>'ind 5'!$F7</f>
        <v>0</v>
      </c>
      <c r="F20" s="104">
        <f>'ind 5'!$F8</f>
        <v>0</v>
      </c>
      <c r="G20" s="105">
        <f>'ind 5'!$F9</f>
        <v>1</v>
      </c>
      <c r="H20" s="103">
        <f>'ind 5'!$F12</f>
        <v>0</v>
      </c>
      <c r="I20" s="104">
        <f>'ind 5'!$F13</f>
        <v>50</v>
      </c>
      <c r="J20" s="104">
        <f>'ind 5'!$F14</f>
        <v>50</v>
      </c>
      <c r="K20" s="105">
        <f>'ind 5'!$F15</f>
        <v>100</v>
      </c>
      <c r="L20" s="103">
        <f>'ind 5'!$F20</f>
        <v>0</v>
      </c>
      <c r="M20" s="104">
        <f>'ind 5'!$F21</f>
        <v>0</v>
      </c>
      <c r="N20" s="104">
        <f>'ind 5'!$F22</f>
        <v>0</v>
      </c>
      <c r="O20" s="105">
        <f>'ind 5'!$F23</f>
        <v>1</v>
      </c>
      <c r="P20" s="103">
        <f>'ind 5'!$F26</f>
        <v>0</v>
      </c>
      <c r="Q20" s="104">
        <f>'ind 5'!$F27</f>
        <v>50</v>
      </c>
      <c r="R20" s="104">
        <f>'ind 5'!$F28</f>
        <v>50</v>
      </c>
      <c r="S20" s="105">
        <f>'ind 5'!$F29</f>
        <v>100</v>
      </c>
    </row>
    <row r="21" spans="1:19" x14ac:dyDescent="0.25">
      <c r="B21" t="s">
        <v>153</v>
      </c>
      <c r="D21" s="103">
        <f>'ind 5'!$G6</f>
        <v>0</v>
      </c>
      <c r="E21" s="104">
        <f>'ind 5'!$G7</f>
        <v>0</v>
      </c>
      <c r="F21" s="104">
        <f>'ind 5'!$G8</f>
        <v>0</v>
      </c>
      <c r="G21" s="105">
        <f>'ind 5'!$G9</f>
        <v>100</v>
      </c>
      <c r="H21" s="103">
        <f>'ind 5'!$G12</f>
        <v>0</v>
      </c>
      <c r="I21" s="104">
        <f>'ind 5'!$G13</f>
        <v>50</v>
      </c>
      <c r="J21" s="104">
        <f>'ind 5'!$G14</f>
        <v>50</v>
      </c>
      <c r="K21" s="105">
        <f>'ind 5'!$G15</f>
        <v>100</v>
      </c>
      <c r="L21" s="103">
        <f>'ind 5'!$G20</f>
        <v>0</v>
      </c>
      <c r="M21" s="104">
        <f>'ind 5'!$G21</f>
        <v>0</v>
      </c>
      <c r="N21" s="104">
        <f>'ind 5'!$G22</f>
        <v>0</v>
      </c>
      <c r="O21" s="105">
        <f>'ind 5'!$G23</f>
        <v>100</v>
      </c>
      <c r="P21" s="103">
        <f>'ind 5'!$G26</f>
        <v>0</v>
      </c>
      <c r="Q21" s="104">
        <f>'ind 5'!$G27</f>
        <v>50</v>
      </c>
      <c r="R21" s="104">
        <f>'ind 5'!$G28</f>
        <v>50</v>
      </c>
      <c r="S21" s="105">
        <f>'ind 5'!$G29</f>
        <v>100</v>
      </c>
    </row>
    <row r="22" spans="1:19" x14ac:dyDescent="0.25">
      <c r="D22" s="106"/>
      <c r="E22" s="107"/>
      <c r="F22" s="107"/>
      <c r="G22" s="108"/>
      <c r="H22" s="106"/>
      <c r="I22" s="107"/>
      <c r="J22" s="107"/>
      <c r="K22" s="108"/>
      <c r="L22" s="106"/>
      <c r="M22" s="107"/>
      <c r="N22" s="107"/>
      <c r="O22" s="108"/>
      <c r="P22" s="106"/>
      <c r="Q22" s="107"/>
      <c r="R22" s="107"/>
      <c r="S22" s="108"/>
    </row>
    <row r="23" spans="1:19" x14ac:dyDescent="0.25">
      <c r="A23" t="str">
        <f>'ind 6'!A3</f>
        <v>Indicador 6</v>
      </c>
      <c r="B23" s="57" t="str">
        <f>'ind 6'!A4</f>
        <v>Proporción del monto de créditos directos desembolsados a empresarias.</v>
      </c>
      <c r="C23" s="52">
        <f>'ind 6'!G4</f>
        <v>19.056703557690081</v>
      </c>
      <c r="D23" s="109">
        <f>'ind 6'!$G5</f>
        <v>21.25</v>
      </c>
      <c r="E23" s="113">
        <f>'ind 6'!$G6</f>
        <v>21.510611735330837</v>
      </c>
      <c r="F23" s="113">
        <f>'ind 6'!$G7</f>
        <v>21.770573566084789</v>
      </c>
      <c r="G23" s="114">
        <f>'ind 6'!$G8</f>
        <v>22.029887920298879</v>
      </c>
      <c r="H23" s="109">
        <f>'ind 6'!$G11</f>
        <v>22.28855721393035</v>
      </c>
      <c r="I23" s="113">
        <f>'ind 6'!$G12</f>
        <v>22.757763975155278</v>
      </c>
      <c r="J23" s="113">
        <f>'ind 6'!$G13</f>
        <v>23.34987593052109</v>
      </c>
      <c r="K23" s="114">
        <f>'ind 6'!$G14</f>
        <v>23.940520446096656</v>
      </c>
      <c r="L23" s="109">
        <f>'ind 6'!$G19</f>
        <v>23.954207920792079</v>
      </c>
      <c r="M23" s="113">
        <f>'ind 6'!$G20</f>
        <v>24.419035846724352</v>
      </c>
      <c r="N23" s="113">
        <f>'ind 6'!$G21</f>
        <v>24.882716049382715</v>
      </c>
      <c r="O23" s="114">
        <f>'ind 6'!$G22</f>
        <v>25.653514180024661</v>
      </c>
      <c r="P23" s="109">
        <f>'ind 6'!$G25</f>
        <v>25.677339901477829</v>
      </c>
      <c r="Q23" s="113">
        <f>'ind 6'!$G26</f>
        <v>27.121771217712176</v>
      </c>
      <c r="R23" s="113">
        <f>'ind 6'!$G27</f>
        <v>28.562653562653562</v>
      </c>
      <c r="S23" s="114">
        <f>'ind 6'!$G28</f>
        <v>30</v>
      </c>
    </row>
    <row r="24" spans="1:19" x14ac:dyDescent="0.25">
      <c r="B24" t="s">
        <v>151</v>
      </c>
      <c r="D24" s="103">
        <f>'ind 6'!$H5</f>
        <v>74.518366916130446</v>
      </c>
      <c r="E24" s="104">
        <f>'ind 6'!$H6</f>
        <v>83.372783738864982</v>
      </c>
      <c r="F24" s="104">
        <f>'ind 6'!$H7</f>
        <v>92.205119721642575</v>
      </c>
      <c r="G24" s="105">
        <f>'ind 6'!$H8</f>
        <v>101.0154573582613</v>
      </c>
      <c r="H24" s="103">
        <f>'ind 6'!$H11</f>
        <v>13.129674006704855</v>
      </c>
      <c r="I24" s="104">
        <f>'ind 6'!$H12</f>
        <v>36.945921115656652</v>
      </c>
      <c r="J24" s="104">
        <f>'ind 6'!$H13</f>
        <v>67.000655638965583</v>
      </c>
      <c r="K24" s="105">
        <f>'ind 6'!$H14</f>
        <v>96.980905070519256</v>
      </c>
      <c r="L24" s="103">
        <f>'ind 6'!$H19</f>
        <v>0.44737918506304997</v>
      </c>
      <c r="M24" s="104">
        <f>'ind 6'!$H20</f>
        <v>15.640418319422883</v>
      </c>
      <c r="N24" s="104">
        <f>'ind 6'!$H21</f>
        <v>30.795943776907663</v>
      </c>
      <c r="O24" s="105">
        <f>'ind 6'!$H22</f>
        <v>55.989710136893521</v>
      </c>
      <c r="P24" s="103">
        <f>'ind 6'!$H25</f>
        <v>0.54816057017075559</v>
      </c>
      <c r="Q24" s="104">
        <f>'ind 6'!$H26</f>
        <v>33.780325037292897</v>
      </c>
      <c r="R24" s="104">
        <f>'ind 6'!$H27</f>
        <v>66.930837994667769</v>
      </c>
      <c r="S24" s="105">
        <f>'ind 6'!$H28</f>
        <v>100</v>
      </c>
    </row>
    <row r="25" spans="1:19" x14ac:dyDescent="0.25">
      <c r="B25" t="s">
        <v>153</v>
      </c>
      <c r="D25" s="103">
        <f>'ind 6'!$I5</f>
        <v>74.518366916130446</v>
      </c>
      <c r="E25" s="104">
        <f>'ind 6'!$I6</f>
        <v>83.372783738864982</v>
      </c>
      <c r="F25" s="104">
        <f>'ind 6'!$I7</f>
        <v>92.205119721642575</v>
      </c>
      <c r="G25" s="105">
        <f>'ind 6'!$I8</f>
        <v>100</v>
      </c>
      <c r="H25" s="103">
        <f>'ind 6'!$I11</f>
        <v>0</v>
      </c>
      <c r="I25" s="104">
        <f>'ind 6'!$I12</f>
        <v>0</v>
      </c>
      <c r="J25" s="104">
        <f>'ind 6'!$I13</f>
        <v>67.000655638965583</v>
      </c>
      <c r="K25" s="105">
        <f>'ind 6'!$I14</f>
        <v>96.980905070519256</v>
      </c>
      <c r="L25" s="103">
        <f>'ind 6'!$I19</f>
        <v>0</v>
      </c>
      <c r="M25" s="104">
        <f>'ind 6'!$I20</f>
        <v>0</v>
      </c>
      <c r="N25" s="104">
        <f>'ind 6'!$I21</f>
        <v>0</v>
      </c>
      <c r="O25" s="105">
        <f>'ind 6'!$I22</f>
        <v>55.989710136893521</v>
      </c>
      <c r="P25" s="103">
        <f>'ind 6'!$I25</f>
        <v>0</v>
      </c>
      <c r="Q25" s="104">
        <f>'ind 6'!$I26</f>
        <v>0</v>
      </c>
      <c r="R25" s="104">
        <f>'ind 6'!$I27</f>
        <v>66.930837994667769</v>
      </c>
      <c r="S25" s="105">
        <f>'ind 6'!$I28</f>
        <v>100</v>
      </c>
    </row>
    <row r="26" spans="1:19" ht="11.1" customHeight="1" x14ac:dyDescent="0.25">
      <c r="D26" s="106"/>
      <c r="E26" s="107"/>
      <c r="F26" s="107"/>
      <c r="G26" s="108"/>
      <c r="H26" s="106"/>
      <c r="I26" s="107"/>
      <c r="J26" s="107"/>
      <c r="K26" s="108"/>
      <c r="L26" s="106"/>
      <c r="M26" s="107"/>
      <c r="N26" s="107"/>
      <c r="O26" s="108"/>
      <c r="P26" s="106"/>
      <c r="Q26" s="107"/>
      <c r="R26" s="107"/>
      <c r="S26" s="108"/>
    </row>
    <row r="27" spans="1:19" ht="23.25" x14ac:dyDescent="0.25">
      <c r="A27" t="str">
        <f>'ind 7'!B3</f>
        <v>Indicador 7</v>
      </c>
      <c r="B27" s="58" t="str">
        <f>'ind 7'!B4</f>
        <v>Cobertura Geográfica de los servicios prestados en los Centros de Atención Integral para Buscadores de Empleo y Oportunidades (CEOs)</v>
      </c>
      <c r="C27" s="145"/>
      <c r="D27" s="106">
        <f>'ind 7'!$J5</f>
        <v>1</v>
      </c>
      <c r="E27" s="107">
        <f>'ind 7'!$J6</f>
        <v>1</v>
      </c>
      <c r="F27" s="107">
        <f>'ind 7'!$J7</f>
        <v>2</v>
      </c>
      <c r="G27" s="108">
        <f>'ind 7'!$J8</f>
        <v>2</v>
      </c>
      <c r="H27" s="106">
        <f>'ind 7'!$M5</f>
        <v>4</v>
      </c>
      <c r="I27" s="107">
        <f>'ind 7'!$M6</f>
        <v>5</v>
      </c>
      <c r="J27" s="107">
        <f>'ind 7'!$M7</f>
        <v>6</v>
      </c>
      <c r="K27" s="108">
        <f>'ind 7'!$M8</f>
        <v>7</v>
      </c>
      <c r="L27" s="106">
        <f>'ind 7'!$P5</f>
        <v>5</v>
      </c>
      <c r="M27" s="107">
        <f>'ind 7'!$P6</f>
        <v>5</v>
      </c>
      <c r="N27" s="107">
        <f>'ind 7'!$P7</f>
        <v>6</v>
      </c>
      <c r="O27" s="108">
        <f>'ind 7'!$P8</f>
        <v>7</v>
      </c>
      <c r="P27" s="106">
        <f>'ind 7'!$S5</f>
        <v>8</v>
      </c>
      <c r="Q27" s="107">
        <f>'ind 7'!$S6</f>
        <v>9</v>
      </c>
      <c r="R27" s="107">
        <f>'ind 7'!$S7</f>
        <v>11</v>
      </c>
      <c r="S27" s="108">
        <f>'ind 7'!$S8</f>
        <v>15</v>
      </c>
    </row>
    <row r="28" spans="1:19" x14ac:dyDescent="0.25">
      <c r="B28" t="s">
        <v>151</v>
      </c>
      <c r="D28" s="103">
        <f>'ind 7'!$K5</f>
        <v>50</v>
      </c>
      <c r="E28" s="104">
        <f>'ind 7'!$K6</f>
        <v>50</v>
      </c>
      <c r="F28" s="104">
        <f>'ind 7'!$K7</f>
        <v>100</v>
      </c>
      <c r="G28" s="105">
        <f>'ind 7'!$K8</f>
        <v>100</v>
      </c>
      <c r="H28" s="103">
        <f>'ind 7'!$N5</f>
        <v>57.142857142857146</v>
      </c>
      <c r="I28" s="104">
        <f>'ind 7'!$N6</f>
        <v>71.428571428571431</v>
      </c>
      <c r="J28" s="104">
        <f>'ind 7'!$N7</f>
        <v>85.714285714285708</v>
      </c>
      <c r="K28" s="105">
        <f>'ind 7'!$N8</f>
        <v>100</v>
      </c>
      <c r="L28" s="103">
        <f>'ind 7'!$Q5</f>
        <v>62.5</v>
      </c>
      <c r="M28" s="104">
        <f>'ind 7'!$Q6</f>
        <v>62.5</v>
      </c>
      <c r="N28" s="104">
        <f>'ind 7'!$Q7</f>
        <v>75</v>
      </c>
      <c r="O28" s="105">
        <f>'ind 7'!$Q8</f>
        <v>87.5</v>
      </c>
      <c r="P28" s="103">
        <f>'ind 7'!$T5</f>
        <v>47.058823529411768</v>
      </c>
      <c r="Q28" s="104">
        <f>'ind 7'!$T6</f>
        <v>52.941176470588232</v>
      </c>
      <c r="R28" s="104">
        <f>'ind 7'!$T7</f>
        <v>64.705882352941174</v>
      </c>
      <c r="S28" s="105">
        <f>'ind 7'!$T8</f>
        <v>88.235294117647058</v>
      </c>
    </row>
    <row r="29" spans="1:19" x14ac:dyDescent="0.25">
      <c r="B29" t="s">
        <v>153</v>
      </c>
      <c r="D29" s="103">
        <f>'ind 7'!$L5</f>
        <v>50</v>
      </c>
      <c r="E29" s="104">
        <f>'ind 7'!$L6</f>
        <v>50</v>
      </c>
      <c r="F29" s="104">
        <f>'ind 7'!$L7</f>
        <v>100</v>
      </c>
      <c r="G29" s="105">
        <f>'ind 7'!$L8</f>
        <v>100</v>
      </c>
      <c r="H29" s="103">
        <f>'ind 7'!$O5</f>
        <v>57.142857142857146</v>
      </c>
      <c r="I29" s="104">
        <f>'ind 7'!$O6</f>
        <v>71.428571428571431</v>
      </c>
      <c r="J29" s="104">
        <f>'ind 7'!$O7</f>
        <v>85.714285714285708</v>
      </c>
      <c r="K29" s="105">
        <f>'ind 7'!$O8</f>
        <v>100</v>
      </c>
      <c r="L29" s="103">
        <f>'ind 7'!$R5</f>
        <v>62.5</v>
      </c>
      <c r="M29" s="104">
        <f>'ind 7'!$R6</f>
        <v>62.5</v>
      </c>
      <c r="N29" s="104">
        <f>'ind 7'!$R7</f>
        <v>75</v>
      </c>
      <c r="O29" s="105">
        <f>'ind 7'!$R8</f>
        <v>87.5</v>
      </c>
      <c r="P29" s="103">
        <f>'ind 7'!$U5</f>
        <v>0</v>
      </c>
      <c r="Q29" s="104">
        <f>'ind 7'!$U6</f>
        <v>52.941176470588232</v>
      </c>
      <c r="R29" s="104">
        <f>'ind 7'!$U7</f>
        <v>64.705882352941174</v>
      </c>
      <c r="S29" s="105">
        <f>'ind 7'!$U8</f>
        <v>88.235294117647058</v>
      </c>
    </row>
    <row r="30" spans="1:19" x14ac:dyDescent="0.25">
      <c r="D30" s="106"/>
      <c r="E30" s="107"/>
      <c r="F30" s="107"/>
      <c r="G30" s="108"/>
      <c r="H30" s="106"/>
      <c r="I30" s="107"/>
      <c r="J30" s="107"/>
      <c r="K30" s="108"/>
      <c r="L30" s="106"/>
      <c r="M30" s="107"/>
      <c r="N30" s="107"/>
      <c r="O30" s="108"/>
      <c r="P30" s="106"/>
      <c r="Q30" s="107"/>
      <c r="R30" s="107"/>
      <c r="S30" s="108"/>
    </row>
    <row r="31" spans="1:19" ht="34.5" x14ac:dyDescent="0.25">
      <c r="A31" t="str">
        <f>'ind 8'!A3</f>
        <v>Indicador 8</v>
      </c>
      <c r="B31" s="58" t="str">
        <f>'ind 8'!A4</f>
        <v>Variación en la movilización de recursos del Tesoro Nacional en el financiamiento de los Programas Estratégicos del PEI,  de la Secretaria de Trabajo y Seguridad Social, Secretaria de Desarrollo Económico y Secretaria de Agricultura.</v>
      </c>
      <c r="C31" s="52">
        <f>'ind 8'!G4</f>
        <v>0.12460006218339968</v>
      </c>
      <c r="D31" s="109">
        <f>'ind 8'!$G5</f>
        <v>16.971713810316139</v>
      </c>
      <c r="E31" s="113">
        <f>'ind 8'!$G6</f>
        <v>17.056572379367719</v>
      </c>
      <c r="F31" s="113">
        <f>'ind 8'!$G7</f>
        <v>17.141855241264555</v>
      </c>
      <c r="G31" s="114">
        <f>'ind 8'!$G8</f>
        <v>17.227564517470874</v>
      </c>
      <c r="H31" s="109">
        <f>'ind 8'!$G12</f>
        <v>16.971713810316139</v>
      </c>
      <c r="I31" s="113">
        <f>'ind 8'!$G13</f>
        <v>17.226289517470882</v>
      </c>
      <c r="J31" s="113">
        <f>'ind 8'!$G14</f>
        <v>17.484683860232945</v>
      </c>
      <c r="K31" s="114">
        <f>'ind 8'!$G15</f>
        <v>17.746954118136436</v>
      </c>
      <c r="L31" s="109">
        <f>'ind 8'!$G21</f>
        <v>16.971713810316139</v>
      </c>
      <c r="M31" s="113">
        <f>'ind 8'!$G22</f>
        <v>17.396006655574041</v>
      </c>
      <c r="N31" s="113">
        <f>'ind 8'!$G23</f>
        <v>17.830906821963389</v>
      </c>
      <c r="O31" s="114">
        <f>'ind 8'!$G24</f>
        <v>18.276679492512475</v>
      </c>
      <c r="P31" s="109">
        <f>'ind 8'!$G28</f>
        <v>16.971713810316142</v>
      </c>
      <c r="Q31" s="113">
        <f>'ind 8'!$G29</f>
        <v>17.480865224625624</v>
      </c>
      <c r="R31" s="113">
        <f>'ind 8'!$G30</f>
        <v>18.005291181364395</v>
      </c>
      <c r="S31" s="114">
        <f>'ind 8'!$G31</f>
        <v>18.725502828618971</v>
      </c>
    </row>
    <row r="32" spans="1:19" x14ac:dyDescent="0.25">
      <c r="B32" t="s">
        <v>151</v>
      </c>
      <c r="D32" s="103">
        <f>'ind 8'!$H5</f>
        <v>450698.37721630785</v>
      </c>
      <c r="E32" s="104">
        <f>'ind 8'!$H6</f>
        <v>452968.53576905595</v>
      </c>
      <c r="F32" s="104">
        <f>'ind 8'!$H7</f>
        <v>455250.04511456791</v>
      </c>
      <c r="G32" s="105">
        <f>'ind 8'!$H8</f>
        <v>457542.96200680727</v>
      </c>
      <c r="H32" s="103">
        <f>'ind 8'!$H12</f>
        <v>-49.504135633966413</v>
      </c>
      <c r="I32" s="104">
        <f>'ind 8'!$H13</f>
        <v>-0.24669766847573099</v>
      </c>
      <c r="J32" s="104">
        <f>'ind 8'!$H14</f>
        <v>49.749601866497173</v>
      </c>
      <c r="K32" s="105">
        <f>'ind 8'!$H15</f>
        <v>100.49584589449417</v>
      </c>
      <c r="L32" s="103">
        <f>'ind 8'!$H21</f>
        <v>-145.61002086325027</v>
      </c>
      <c r="M32" s="104">
        <f>'ind 8'!$H22</f>
        <v>-65.916938051498406</v>
      </c>
      <c r="N32" s="104">
        <f>'ind 8'!$H23</f>
        <v>15.768471830546806</v>
      </c>
      <c r="O32" s="105">
        <f>'ind 8'!$H24</f>
        <v>99.496016959644123</v>
      </c>
      <c r="P32" s="103">
        <f>'ind 8'!$H28</f>
        <v>-238.00196360083677</v>
      </c>
      <c r="Q32" s="104">
        <f>'ind 8'!$H29</f>
        <v>-145.14202250886214</v>
      </c>
      <c r="R32" s="104">
        <f>'ind 8'!$H30</f>
        <v>-49.49628318412752</v>
      </c>
      <c r="S32" s="105">
        <f>'ind 8'!$H31</f>
        <v>81.857198821840925</v>
      </c>
    </row>
    <row r="33" spans="2:19" ht="15.75" thickBot="1" x14ac:dyDescent="0.3">
      <c r="B33" t="s">
        <v>153</v>
      </c>
      <c r="D33" s="115">
        <f>'ind 8'!$I5</f>
        <v>100</v>
      </c>
      <c r="E33" s="116">
        <f>'ind 8'!$I6</f>
        <v>100</v>
      </c>
      <c r="F33" s="116">
        <f>'ind 8'!$I7</f>
        <v>100</v>
      </c>
      <c r="G33" s="117">
        <f>'ind 8'!$I8</f>
        <v>100</v>
      </c>
      <c r="H33" s="115">
        <f>'ind 8'!$I12</f>
        <v>0</v>
      </c>
      <c r="I33" s="116">
        <f>'ind 8'!$I13</f>
        <v>0</v>
      </c>
      <c r="J33" s="116">
        <f>'ind 8'!$I14</f>
        <v>0</v>
      </c>
      <c r="K33" s="117">
        <f>'ind 8'!$I15</f>
        <v>100</v>
      </c>
      <c r="L33" s="115">
        <f>'ind 8'!$I21</f>
        <v>0</v>
      </c>
      <c r="M33" s="116">
        <f>'ind 8'!$I22</f>
        <v>0</v>
      </c>
      <c r="N33" s="116">
        <f>'ind 8'!$I23</f>
        <v>0</v>
      </c>
      <c r="O33" s="117">
        <f>'ind 8'!$I24</f>
        <v>99.496016959644123</v>
      </c>
      <c r="P33" s="115">
        <f>'ind 8'!$I28</f>
        <v>0</v>
      </c>
      <c r="Q33" s="116">
        <f>'ind 8'!$I29</f>
        <v>0</v>
      </c>
      <c r="R33" s="116">
        <f>'ind 8'!$I30</f>
        <v>0</v>
      </c>
      <c r="S33" s="117">
        <f>'ind 8'!$I31</f>
        <v>81.857198821840925</v>
      </c>
    </row>
  </sheetData>
  <mergeCells count="4">
    <mergeCell ref="D1:G1"/>
    <mergeCell ref="H1:K1"/>
    <mergeCell ref="L1:O1"/>
    <mergeCell ref="P1:S1"/>
  </mergeCells>
  <conditionalFormatting sqref="D3:S33">
    <cfRule type="containsErrors" dxfId="35" priority="141">
      <formula>ISERROR(D3)</formula>
    </cfRule>
  </conditionalFormatting>
  <conditionalFormatting sqref="D4">
    <cfRule type="cellIs" dxfId="34" priority="140" operator="between">
      <formula>0</formula>
      <formula>25</formula>
    </cfRule>
  </conditionalFormatting>
  <conditionalFormatting sqref="E4">
    <cfRule type="colorScale" priority="139">
      <colorScale>
        <cfvo type="num" val="25"/>
        <cfvo type="num" val="50"/>
        <color rgb="FFFFFF00"/>
        <color theme="6" tint="0.79998168889431442"/>
      </colorScale>
    </cfRule>
  </conditionalFormatting>
  <conditionalFormatting sqref="F4">
    <cfRule type="colorScale" priority="138">
      <colorScale>
        <cfvo type="num" val="50"/>
        <cfvo type="num" val="75"/>
        <color theme="9" tint="0.79998168889431442"/>
        <color theme="6" tint="0.59999389629810485"/>
      </colorScale>
    </cfRule>
  </conditionalFormatting>
  <conditionalFormatting sqref="G4">
    <cfRule type="colorScale" priority="137">
      <colorScale>
        <cfvo type="num" val="75"/>
        <cfvo type="num" val="100"/>
        <color theme="6" tint="0.79998168889431442"/>
        <color theme="6" tint="-0.249977111117893"/>
      </colorScale>
    </cfRule>
  </conditionalFormatting>
  <conditionalFormatting sqref="H4">
    <cfRule type="cellIs" dxfId="33" priority="136" operator="between">
      <formula>0</formula>
      <formula>25</formula>
    </cfRule>
  </conditionalFormatting>
  <conditionalFormatting sqref="I4">
    <cfRule type="colorScale" priority="135">
      <colorScale>
        <cfvo type="num" val="25"/>
        <cfvo type="num" val="50"/>
        <color rgb="FFFFFF00"/>
        <color theme="6" tint="0.79998168889431442"/>
      </colorScale>
    </cfRule>
  </conditionalFormatting>
  <conditionalFormatting sqref="J4">
    <cfRule type="colorScale" priority="134">
      <colorScale>
        <cfvo type="num" val="50"/>
        <cfvo type="num" val="75"/>
        <color theme="9" tint="0.79998168889431442"/>
        <color theme="6" tint="0.59999389629810485"/>
      </colorScale>
    </cfRule>
  </conditionalFormatting>
  <conditionalFormatting sqref="K4">
    <cfRule type="colorScale" priority="133">
      <colorScale>
        <cfvo type="num" val="75"/>
        <cfvo type="num" val="100"/>
        <color theme="6" tint="0.79998168889431442"/>
        <color theme="6" tint="-0.249977111117893"/>
      </colorScale>
    </cfRule>
  </conditionalFormatting>
  <conditionalFormatting sqref="L4">
    <cfRule type="cellIs" dxfId="32" priority="132" operator="between">
      <formula>0</formula>
      <formula>25</formula>
    </cfRule>
  </conditionalFormatting>
  <conditionalFormatting sqref="M4">
    <cfRule type="colorScale" priority="131">
      <colorScale>
        <cfvo type="num" val="25"/>
        <cfvo type="num" val="50"/>
        <color rgb="FFFFFF00"/>
        <color theme="6" tint="0.79998168889431442"/>
      </colorScale>
    </cfRule>
  </conditionalFormatting>
  <conditionalFormatting sqref="N4">
    <cfRule type="colorScale" priority="130">
      <colorScale>
        <cfvo type="num" val="50"/>
        <cfvo type="num" val="75"/>
        <color theme="9" tint="0.79998168889431442"/>
        <color theme="6" tint="0.59999389629810485"/>
      </colorScale>
    </cfRule>
  </conditionalFormatting>
  <conditionalFormatting sqref="O4">
    <cfRule type="colorScale" priority="129">
      <colorScale>
        <cfvo type="num" val="75"/>
        <cfvo type="num" val="100"/>
        <color theme="6" tint="0.79998168889431442"/>
        <color theme="6" tint="-0.249977111117893"/>
      </colorScale>
    </cfRule>
  </conditionalFormatting>
  <conditionalFormatting sqref="P4">
    <cfRule type="cellIs" dxfId="31" priority="128" operator="between">
      <formula>0</formula>
      <formula>25</formula>
    </cfRule>
  </conditionalFormatting>
  <conditionalFormatting sqref="Q4">
    <cfRule type="colorScale" priority="127">
      <colorScale>
        <cfvo type="num" val="25"/>
        <cfvo type="num" val="50"/>
        <color rgb="FFFFFF00"/>
        <color theme="6" tint="0.79998168889431442"/>
      </colorScale>
    </cfRule>
  </conditionalFormatting>
  <conditionalFormatting sqref="R4">
    <cfRule type="colorScale" priority="126">
      <colorScale>
        <cfvo type="num" val="50"/>
        <cfvo type="num" val="75"/>
        <color theme="9" tint="0.79998168889431442"/>
        <color theme="6" tint="0.59999389629810485"/>
      </colorScale>
    </cfRule>
  </conditionalFormatting>
  <conditionalFormatting sqref="S4">
    <cfRule type="colorScale" priority="125">
      <colorScale>
        <cfvo type="num" val="75"/>
        <cfvo type="num" val="100"/>
        <color theme="6" tint="0.79998168889431442"/>
        <color theme="6" tint="-0.249977111117893"/>
      </colorScale>
    </cfRule>
  </conditionalFormatting>
  <conditionalFormatting sqref="D8">
    <cfRule type="cellIs" dxfId="30" priority="124" operator="between">
      <formula>0</formula>
      <formula>25</formula>
    </cfRule>
  </conditionalFormatting>
  <conditionalFormatting sqref="E8">
    <cfRule type="colorScale" priority="123">
      <colorScale>
        <cfvo type="num" val="25"/>
        <cfvo type="num" val="50"/>
        <color rgb="FFFFFF00"/>
        <color theme="6" tint="0.79998168889431442"/>
      </colorScale>
    </cfRule>
  </conditionalFormatting>
  <conditionalFormatting sqref="F8">
    <cfRule type="colorScale" priority="122">
      <colorScale>
        <cfvo type="num" val="50"/>
        <cfvo type="num" val="75"/>
        <color theme="9" tint="0.79998168889431442"/>
        <color theme="6" tint="0.59999389629810485"/>
      </colorScale>
    </cfRule>
  </conditionalFormatting>
  <conditionalFormatting sqref="G8">
    <cfRule type="colorScale" priority="121">
      <colorScale>
        <cfvo type="num" val="75"/>
        <cfvo type="num" val="100"/>
        <color theme="6" tint="0.79998168889431442"/>
        <color theme="6" tint="-0.249977111117893"/>
      </colorScale>
    </cfRule>
  </conditionalFormatting>
  <conditionalFormatting sqref="H8">
    <cfRule type="cellIs" dxfId="29" priority="120" operator="between">
      <formula>0</formula>
      <formula>25</formula>
    </cfRule>
  </conditionalFormatting>
  <conditionalFormatting sqref="I8">
    <cfRule type="colorScale" priority="119">
      <colorScale>
        <cfvo type="num" val="25"/>
        <cfvo type="num" val="50"/>
        <color rgb="FFFFFF00"/>
        <color theme="6" tint="0.79998168889431442"/>
      </colorScale>
    </cfRule>
  </conditionalFormatting>
  <conditionalFormatting sqref="J8">
    <cfRule type="colorScale" priority="118">
      <colorScale>
        <cfvo type="num" val="50"/>
        <cfvo type="num" val="75"/>
        <color theme="9" tint="0.79998168889431442"/>
        <color theme="6" tint="0.59999389629810485"/>
      </colorScale>
    </cfRule>
  </conditionalFormatting>
  <conditionalFormatting sqref="K8">
    <cfRule type="colorScale" priority="117">
      <colorScale>
        <cfvo type="num" val="75"/>
        <cfvo type="num" val="100"/>
        <color theme="6" tint="0.79998168889431442"/>
        <color theme="6" tint="-0.249977111117893"/>
      </colorScale>
    </cfRule>
  </conditionalFormatting>
  <conditionalFormatting sqref="L8">
    <cfRule type="cellIs" dxfId="28" priority="116" operator="between">
      <formula>0</formula>
      <formula>25</formula>
    </cfRule>
  </conditionalFormatting>
  <conditionalFormatting sqref="M8">
    <cfRule type="colorScale" priority="115">
      <colorScale>
        <cfvo type="num" val="25"/>
        <cfvo type="num" val="50"/>
        <color rgb="FFFFFF00"/>
        <color theme="6" tint="0.79998168889431442"/>
      </colorScale>
    </cfRule>
  </conditionalFormatting>
  <conditionalFormatting sqref="N8">
    <cfRule type="colorScale" priority="114">
      <colorScale>
        <cfvo type="num" val="50"/>
        <cfvo type="num" val="75"/>
        <color theme="9" tint="0.79998168889431442"/>
        <color theme="6" tint="0.59999389629810485"/>
      </colorScale>
    </cfRule>
  </conditionalFormatting>
  <conditionalFormatting sqref="O8">
    <cfRule type="colorScale" priority="113">
      <colorScale>
        <cfvo type="num" val="75"/>
        <cfvo type="num" val="100"/>
        <color theme="6" tint="0.79998168889431442"/>
        <color theme="6" tint="-0.249977111117893"/>
      </colorScale>
    </cfRule>
  </conditionalFormatting>
  <conditionalFormatting sqref="P8">
    <cfRule type="cellIs" dxfId="27" priority="112" operator="between">
      <formula>0</formula>
      <formula>25</formula>
    </cfRule>
  </conditionalFormatting>
  <conditionalFormatting sqref="Q8">
    <cfRule type="colorScale" priority="111">
      <colorScale>
        <cfvo type="num" val="25"/>
        <cfvo type="num" val="50"/>
        <color rgb="FFFFFF00"/>
        <color theme="6" tint="0.79998168889431442"/>
      </colorScale>
    </cfRule>
  </conditionalFormatting>
  <conditionalFormatting sqref="R8">
    <cfRule type="colorScale" priority="110">
      <colorScale>
        <cfvo type="num" val="50"/>
        <cfvo type="num" val="75"/>
        <color theme="9" tint="0.79998168889431442"/>
        <color theme="6" tint="0.59999389629810485"/>
      </colorScale>
    </cfRule>
  </conditionalFormatting>
  <conditionalFormatting sqref="S8">
    <cfRule type="colorScale" priority="109">
      <colorScale>
        <cfvo type="num" val="75"/>
        <cfvo type="num" val="100"/>
        <color theme="6" tint="0.79998168889431442"/>
        <color theme="6" tint="-0.249977111117893"/>
      </colorScale>
    </cfRule>
  </conditionalFormatting>
  <conditionalFormatting sqref="D12">
    <cfRule type="cellIs" dxfId="26" priority="108" operator="between">
      <formula>0</formula>
      <formula>25</formula>
    </cfRule>
  </conditionalFormatting>
  <conditionalFormatting sqref="E12">
    <cfRule type="colorScale" priority="107">
      <colorScale>
        <cfvo type="num" val="25"/>
        <cfvo type="num" val="50"/>
        <color rgb="FFFFFF00"/>
        <color theme="6" tint="0.79998168889431442"/>
      </colorScale>
    </cfRule>
  </conditionalFormatting>
  <conditionalFormatting sqref="F12">
    <cfRule type="colorScale" priority="106">
      <colorScale>
        <cfvo type="num" val="50"/>
        <cfvo type="num" val="75"/>
        <color theme="9" tint="0.79998168889431442"/>
        <color theme="6" tint="0.59999389629810485"/>
      </colorScale>
    </cfRule>
  </conditionalFormatting>
  <conditionalFormatting sqref="G12">
    <cfRule type="colorScale" priority="105">
      <colorScale>
        <cfvo type="num" val="75"/>
        <cfvo type="num" val="100"/>
        <color theme="6" tint="0.79998168889431442"/>
        <color theme="6" tint="-0.249977111117893"/>
      </colorScale>
    </cfRule>
  </conditionalFormatting>
  <conditionalFormatting sqref="H12">
    <cfRule type="cellIs" dxfId="25" priority="104" operator="between">
      <formula>0</formula>
      <formula>25</formula>
    </cfRule>
  </conditionalFormatting>
  <conditionalFormatting sqref="I12">
    <cfRule type="colorScale" priority="103">
      <colorScale>
        <cfvo type="num" val="25"/>
        <cfvo type="num" val="50"/>
        <color rgb="FFFFFF00"/>
        <color theme="6" tint="0.79998168889431442"/>
      </colorScale>
    </cfRule>
  </conditionalFormatting>
  <conditionalFormatting sqref="J12">
    <cfRule type="colorScale" priority="102">
      <colorScale>
        <cfvo type="num" val="50"/>
        <cfvo type="num" val="75"/>
        <color theme="9" tint="0.79998168889431442"/>
        <color theme="6" tint="0.59999389629810485"/>
      </colorScale>
    </cfRule>
  </conditionalFormatting>
  <conditionalFormatting sqref="K12">
    <cfRule type="colorScale" priority="101">
      <colorScale>
        <cfvo type="num" val="75"/>
        <cfvo type="num" val="100"/>
        <color theme="6" tint="0.79998168889431442"/>
        <color theme="6" tint="-0.249977111117893"/>
      </colorScale>
    </cfRule>
  </conditionalFormatting>
  <conditionalFormatting sqref="L12">
    <cfRule type="cellIs" dxfId="24" priority="100" operator="between">
      <formula>0</formula>
      <formula>25</formula>
    </cfRule>
  </conditionalFormatting>
  <conditionalFormatting sqref="M12">
    <cfRule type="colorScale" priority="99">
      <colorScale>
        <cfvo type="num" val="25"/>
        <cfvo type="num" val="50"/>
        <color rgb="FFFFFF00"/>
        <color theme="6" tint="0.79998168889431442"/>
      </colorScale>
    </cfRule>
  </conditionalFormatting>
  <conditionalFormatting sqref="N12">
    <cfRule type="colorScale" priority="98">
      <colorScale>
        <cfvo type="num" val="50"/>
        <cfvo type="num" val="75"/>
        <color theme="9" tint="0.79998168889431442"/>
        <color theme="6" tint="0.59999389629810485"/>
      </colorScale>
    </cfRule>
  </conditionalFormatting>
  <conditionalFormatting sqref="O12">
    <cfRule type="colorScale" priority="97">
      <colorScale>
        <cfvo type="num" val="75"/>
        <cfvo type="num" val="100"/>
        <color theme="6" tint="0.79998168889431442"/>
        <color theme="6" tint="-0.249977111117893"/>
      </colorScale>
    </cfRule>
  </conditionalFormatting>
  <conditionalFormatting sqref="P12">
    <cfRule type="cellIs" dxfId="23" priority="96" operator="between">
      <formula>0</formula>
      <formula>25</formula>
    </cfRule>
  </conditionalFormatting>
  <conditionalFormatting sqref="Q12">
    <cfRule type="colorScale" priority="95">
      <colorScale>
        <cfvo type="num" val="25"/>
        <cfvo type="num" val="50"/>
        <color rgb="FFFFFF00"/>
        <color theme="6" tint="0.79998168889431442"/>
      </colorScale>
    </cfRule>
  </conditionalFormatting>
  <conditionalFormatting sqref="R12">
    <cfRule type="colorScale" priority="94">
      <colorScale>
        <cfvo type="num" val="50"/>
        <cfvo type="num" val="75"/>
        <color theme="9" tint="0.79998168889431442"/>
        <color theme="6" tint="0.59999389629810485"/>
      </colorScale>
    </cfRule>
  </conditionalFormatting>
  <conditionalFormatting sqref="S12">
    <cfRule type="colorScale" priority="93">
      <colorScale>
        <cfvo type="num" val="75"/>
        <cfvo type="num" val="100"/>
        <color theme="6" tint="0.79998168889431442"/>
        <color theme="6" tint="-0.249977111117893"/>
      </colorScale>
    </cfRule>
  </conditionalFormatting>
  <conditionalFormatting sqref="D16">
    <cfRule type="cellIs" dxfId="22" priority="92" operator="between">
      <formula>0</formula>
      <formula>1</formula>
    </cfRule>
  </conditionalFormatting>
  <conditionalFormatting sqref="E16">
    <cfRule type="colorScale" priority="91">
      <colorScale>
        <cfvo type="num" val="0"/>
        <cfvo type="num" val="1"/>
        <color rgb="FFFFFF00"/>
        <color theme="6" tint="0.79998168889431442"/>
      </colorScale>
    </cfRule>
  </conditionalFormatting>
  <conditionalFormatting sqref="F16">
    <cfRule type="colorScale" priority="90">
      <colorScale>
        <cfvo type="num" val="0"/>
        <cfvo type="num" val="1"/>
        <color theme="9" tint="0.79998168889431442"/>
        <color theme="6" tint="0.59999389629810485"/>
      </colorScale>
    </cfRule>
  </conditionalFormatting>
  <conditionalFormatting sqref="G16">
    <cfRule type="colorScale" priority="89">
      <colorScale>
        <cfvo type="num" val="0"/>
        <cfvo type="num" val="1"/>
        <color theme="6" tint="0.79998168889431442"/>
        <color theme="6" tint="-0.249977111117893"/>
      </colorScale>
    </cfRule>
  </conditionalFormatting>
  <conditionalFormatting sqref="H16">
    <cfRule type="cellIs" dxfId="21" priority="88" operator="between">
      <formula>0</formula>
      <formula>25</formula>
    </cfRule>
  </conditionalFormatting>
  <conditionalFormatting sqref="I16">
    <cfRule type="colorScale" priority="87">
      <colorScale>
        <cfvo type="num" val="25"/>
        <cfvo type="num" val="50"/>
        <color rgb="FFFFFF00"/>
        <color theme="6" tint="0.79998168889431442"/>
      </colorScale>
    </cfRule>
  </conditionalFormatting>
  <conditionalFormatting sqref="J16">
    <cfRule type="colorScale" priority="86">
      <colorScale>
        <cfvo type="num" val="50"/>
        <cfvo type="num" val="75"/>
        <color theme="9" tint="0.79998168889431442"/>
        <color theme="6" tint="0.59999389629810485"/>
      </colorScale>
    </cfRule>
  </conditionalFormatting>
  <conditionalFormatting sqref="K16">
    <cfRule type="colorScale" priority="85">
      <colorScale>
        <cfvo type="num" val="75"/>
        <cfvo type="num" val="100"/>
        <color theme="6" tint="0.79998168889431442"/>
        <color theme="6" tint="-0.249977111117893"/>
      </colorScale>
    </cfRule>
  </conditionalFormatting>
  <conditionalFormatting sqref="L16">
    <cfRule type="cellIs" dxfId="20" priority="84" operator="between">
      <formula>0</formula>
      <formula>25</formula>
    </cfRule>
  </conditionalFormatting>
  <conditionalFormatting sqref="M16">
    <cfRule type="colorScale" priority="83">
      <colorScale>
        <cfvo type="num" val="25"/>
        <cfvo type="num" val="50"/>
        <color rgb="FFFFFF00"/>
        <color theme="6" tint="0.79998168889431442"/>
      </colorScale>
    </cfRule>
  </conditionalFormatting>
  <conditionalFormatting sqref="N16">
    <cfRule type="colorScale" priority="82">
      <colorScale>
        <cfvo type="num" val="50"/>
        <cfvo type="num" val="75"/>
        <color theme="9" tint="0.79998168889431442"/>
        <color theme="6" tint="0.59999389629810485"/>
      </colorScale>
    </cfRule>
  </conditionalFormatting>
  <conditionalFormatting sqref="O16">
    <cfRule type="colorScale" priority="81">
      <colorScale>
        <cfvo type="num" val="75"/>
        <cfvo type="num" val="100"/>
        <color theme="6" tint="0.79998168889431442"/>
        <color theme="6" tint="-0.249977111117893"/>
      </colorScale>
    </cfRule>
  </conditionalFormatting>
  <conditionalFormatting sqref="P16">
    <cfRule type="cellIs" dxfId="19" priority="80" operator="between">
      <formula>0</formula>
      <formula>25</formula>
    </cfRule>
  </conditionalFormatting>
  <conditionalFormatting sqref="Q16">
    <cfRule type="colorScale" priority="79">
      <colorScale>
        <cfvo type="num" val="25"/>
        <cfvo type="num" val="50"/>
        <color rgb="FFFFFF00"/>
        <color theme="6" tint="0.79998168889431442"/>
      </colorScale>
    </cfRule>
  </conditionalFormatting>
  <conditionalFormatting sqref="R16">
    <cfRule type="colorScale" priority="78">
      <colorScale>
        <cfvo type="num" val="50"/>
        <cfvo type="num" val="75"/>
        <color theme="9" tint="0.79998168889431442"/>
        <color theme="6" tint="0.59999389629810485"/>
      </colorScale>
    </cfRule>
  </conditionalFormatting>
  <conditionalFormatting sqref="S16">
    <cfRule type="colorScale" priority="77">
      <colorScale>
        <cfvo type="num" val="75"/>
        <cfvo type="num" val="100"/>
        <color theme="6" tint="0.79998168889431442"/>
        <color theme="6" tint="-0.249977111117893"/>
      </colorScale>
    </cfRule>
  </conditionalFormatting>
  <conditionalFormatting sqref="D20">
    <cfRule type="cellIs" dxfId="18" priority="76" operator="between">
      <formula>0</formula>
      <formula>25</formula>
    </cfRule>
  </conditionalFormatting>
  <conditionalFormatting sqref="E20">
    <cfRule type="colorScale" priority="75">
      <colorScale>
        <cfvo type="num" val="25"/>
        <cfvo type="num" val="50"/>
        <color rgb="FFFFFF00"/>
        <color theme="6" tint="0.79998168889431442"/>
      </colorScale>
    </cfRule>
  </conditionalFormatting>
  <conditionalFormatting sqref="F20">
    <cfRule type="colorScale" priority="74">
      <colorScale>
        <cfvo type="num" val="50"/>
        <cfvo type="num" val="75"/>
        <color theme="9" tint="0.79998168889431442"/>
        <color theme="6" tint="0.59999389629810485"/>
      </colorScale>
    </cfRule>
  </conditionalFormatting>
  <conditionalFormatting sqref="G20">
    <cfRule type="colorScale" priority="73">
      <colorScale>
        <cfvo type="num" val="75"/>
        <cfvo type="num" val="100"/>
        <color theme="6" tint="0.79998168889431442"/>
        <color theme="6" tint="-0.249977111117893"/>
      </colorScale>
    </cfRule>
  </conditionalFormatting>
  <conditionalFormatting sqref="H20">
    <cfRule type="cellIs" dxfId="17" priority="72" operator="between">
      <formula>0</formula>
      <formula>25</formula>
    </cfRule>
  </conditionalFormatting>
  <conditionalFormatting sqref="I20">
    <cfRule type="colorScale" priority="71">
      <colorScale>
        <cfvo type="num" val="25"/>
        <cfvo type="num" val="50"/>
        <color rgb="FFFFFF00"/>
        <color theme="6" tint="0.79998168889431442"/>
      </colorScale>
    </cfRule>
  </conditionalFormatting>
  <conditionalFormatting sqref="J20">
    <cfRule type="colorScale" priority="70">
      <colorScale>
        <cfvo type="num" val="50"/>
        <cfvo type="num" val="75"/>
        <color theme="9" tint="0.79998168889431442"/>
        <color theme="6" tint="0.59999389629810485"/>
      </colorScale>
    </cfRule>
  </conditionalFormatting>
  <conditionalFormatting sqref="K20">
    <cfRule type="colorScale" priority="69">
      <colorScale>
        <cfvo type="num" val="75"/>
        <cfvo type="num" val="100"/>
        <color theme="6" tint="0.79998168889431442"/>
        <color theme="6" tint="-0.249977111117893"/>
      </colorScale>
    </cfRule>
  </conditionalFormatting>
  <conditionalFormatting sqref="L20">
    <cfRule type="cellIs" dxfId="16" priority="68" operator="between">
      <formula>0</formula>
      <formula>25</formula>
    </cfRule>
  </conditionalFormatting>
  <conditionalFormatting sqref="M20">
    <cfRule type="colorScale" priority="67">
      <colorScale>
        <cfvo type="num" val="25"/>
        <cfvo type="num" val="50"/>
        <color rgb="FFFFFF00"/>
        <color theme="6" tint="0.79998168889431442"/>
      </colorScale>
    </cfRule>
  </conditionalFormatting>
  <conditionalFormatting sqref="N20">
    <cfRule type="colorScale" priority="66">
      <colorScale>
        <cfvo type="num" val="50"/>
        <cfvo type="num" val="75"/>
        <color theme="9" tint="0.79998168889431442"/>
        <color theme="6" tint="0.59999389629810485"/>
      </colorScale>
    </cfRule>
  </conditionalFormatting>
  <conditionalFormatting sqref="O20">
    <cfRule type="colorScale" priority="65">
      <colorScale>
        <cfvo type="num" val="75"/>
        <cfvo type="num" val="100"/>
        <color theme="6" tint="0.79998168889431442"/>
        <color theme="6" tint="-0.249977111117893"/>
      </colorScale>
    </cfRule>
  </conditionalFormatting>
  <conditionalFormatting sqref="P20">
    <cfRule type="cellIs" dxfId="15" priority="64" operator="between">
      <formula>0</formula>
      <formula>25</formula>
    </cfRule>
  </conditionalFormatting>
  <conditionalFormatting sqref="Q20">
    <cfRule type="colorScale" priority="63">
      <colorScale>
        <cfvo type="num" val="25"/>
        <cfvo type="num" val="50"/>
        <color rgb="FFFFFF00"/>
        <color theme="6" tint="0.79998168889431442"/>
      </colorScale>
    </cfRule>
  </conditionalFormatting>
  <conditionalFormatting sqref="R20">
    <cfRule type="colorScale" priority="62">
      <colorScale>
        <cfvo type="num" val="50"/>
        <cfvo type="num" val="75"/>
        <color theme="9" tint="0.79998168889431442"/>
        <color theme="6" tint="0.59999389629810485"/>
      </colorScale>
    </cfRule>
  </conditionalFormatting>
  <conditionalFormatting sqref="S20">
    <cfRule type="colorScale" priority="61">
      <colorScale>
        <cfvo type="num" val="75"/>
        <cfvo type="num" val="100"/>
        <color theme="6" tint="0.79998168889431442"/>
        <color theme="6" tint="-0.249977111117893"/>
      </colorScale>
    </cfRule>
  </conditionalFormatting>
  <conditionalFormatting sqref="D24">
    <cfRule type="cellIs" dxfId="14" priority="60" operator="between">
      <formula>0</formula>
      <formula>25</formula>
    </cfRule>
  </conditionalFormatting>
  <conditionalFormatting sqref="E24">
    <cfRule type="colorScale" priority="59">
      <colorScale>
        <cfvo type="num" val="25"/>
        <cfvo type="num" val="50"/>
        <color rgb="FFFFFF00"/>
        <color theme="6" tint="0.79998168889431442"/>
      </colorScale>
    </cfRule>
  </conditionalFormatting>
  <conditionalFormatting sqref="F24">
    <cfRule type="colorScale" priority="58">
      <colorScale>
        <cfvo type="num" val="50"/>
        <cfvo type="num" val="75"/>
        <color theme="9" tint="0.79998168889431442"/>
        <color theme="6" tint="0.59999389629810485"/>
      </colorScale>
    </cfRule>
  </conditionalFormatting>
  <conditionalFormatting sqref="G24">
    <cfRule type="colorScale" priority="57">
      <colorScale>
        <cfvo type="num" val="75"/>
        <cfvo type="num" val="100"/>
        <color theme="6" tint="0.79998168889431442"/>
        <color theme="6" tint="-0.249977111117893"/>
      </colorScale>
    </cfRule>
  </conditionalFormatting>
  <conditionalFormatting sqref="H24">
    <cfRule type="cellIs" dxfId="13" priority="56" operator="between">
      <formula>0</formula>
      <formula>25</formula>
    </cfRule>
  </conditionalFormatting>
  <conditionalFormatting sqref="I24">
    <cfRule type="colorScale" priority="55">
      <colorScale>
        <cfvo type="num" val="25"/>
        <cfvo type="num" val="50"/>
        <color rgb="FFFFFF00"/>
        <color theme="6" tint="0.79998168889431442"/>
      </colorScale>
    </cfRule>
  </conditionalFormatting>
  <conditionalFormatting sqref="J24">
    <cfRule type="colorScale" priority="54">
      <colorScale>
        <cfvo type="num" val="50"/>
        <cfvo type="num" val="75"/>
        <color theme="9" tint="0.79998168889431442"/>
        <color theme="6" tint="0.59999389629810485"/>
      </colorScale>
    </cfRule>
  </conditionalFormatting>
  <conditionalFormatting sqref="K24">
    <cfRule type="colorScale" priority="53">
      <colorScale>
        <cfvo type="num" val="75"/>
        <cfvo type="num" val="100"/>
        <color theme="6" tint="0.79998168889431442"/>
        <color theme="6" tint="-0.249977111117893"/>
      </colorScale>
    </cfRule>
  </conditionalFormatting>
  <conditionalFormatting sqref="L24">
    <cfRule type="cellIs" dxfId="12" priority="52" operator="between">
      <formula>0</formula>
      <formula>25</formula>
    </cfRule>
  </conditionalFormatting>
  <conditionalFormatting sqref="M24">
    <cfRule type="colorScale" priority="51">
      <colorScale>
        <cfvo type="num" val="25"/>
        <cfvo type="num" val="50"/>
        <color rgb="FFFFFF00"/>
        <color theme="6" tint="0.79998168889431442"/>
      </colorScale>
    </cfRule>
  </conditionalFormatting>
  <conditionalFormatting sqref="N24">
    <cfRule type="colorScale" priority="50">
      <colorScale>
        <cfvo type="num" val="50"/>
        <cfvo type="num" val="75"/>
        <color theme="9" tint="0.79998168889431442"/>
        <color theme="6" tint="0.59999389629810485"/>
      </colorScale>
    </cfRule>
  </conditionalFormatting>
  <conditionalFormatting sqref="O24">
    <cfRule type="colorScale" priority="49">
      <colorScale>
        <cfvo type="num" val="75"/>
        <cfvo type="num" val="100"/>
        <color theme="6" tint="0.79998168889431442"/>
        <color theme="6" tint="-0.249977111117893"/>
      </colorScale>
    </cfRule>
  </conditionalFormatting>
  <conditionalFormatting sqref="P24">
    <cfRule type="cellIs" dxfId="11" priority="48" operator="between">
      <formula>0</formula>
      <formula>25</formula>
    </cfRule>
  </conditionalFormatting>
  <conditionalFormatting sqref="Q24">
    <cfRule type="colorScale" priority="47">
      <colorScale>
        <cfvo type="num" val="25"/>
        <cfvo type="num" val="50"/>
        <color rgb="FFFFFF00"/>
        <color theme="6" tint="0.79998168889431442"/>
      </colorScale>
    </cfRule>
  </conditionalFormatting>
  <conditionalFormatting sqref="R24">
    <cfRule type="colorScale" priority="46">
      <colorScale>
        <cfvo type="num" val="50"/>
        <cfvo type="num" val="75"/>
        <color theme="9" tint="0.79998168889431442"/>
        <color theme="6" tint="0.59999389629810485"/>
      </colorScale>
    </cfRule>
  </conditionalFormatting>
  <conditionalFormatting sqref="S24">
    <cfRule type="colorScale" priority="45">
      <colorScale>
        <cfvo type="num" val="75"/>
        <cfvo type="num" val="100"/>
        <color theme="6" tint="0.79998168889431442"/>
        <color theme="6" tint="-0.249977111117893"/>
      </colorScale>
    </cfRule>
  </conditionalFormatting>
  <conditionalFormatting sqref="D28">
    <cfRule type="cellIs" dxfId="10" priority="44" operator="between">
      <formula>0</formula>
      <formula>25</formula>
    </cfRule>
  </conditionalFormatting>
  <conditionalFormatting sqref="E28">
    <cfRule type="colorScale" priority="43">
      <colorScale>
        <cfvo type="num" val="25"/>
        <cfvo type="num" val="50"/>
        <color rgb="FFFFFF00"/>
        <color theme="6" tint="0.79998168889431442"/>
      </colorScale>
    </cfRule>
  </conditionalFormatting>
  <conditionalFormatting sqref="F28">
    <cfRule type="colorScale" priority="42">
      <colorScale>
        <cfvo type="num" val="50"/>
        <cfvo type="num" val="75"/>
        <color theme="9" tint="0.79998168889431442"/>
        <color theme="6" tint="0.59999389629810485"/>
      </colorScale>
    </cfRule>
  </conditionalFormatting>
  <conditionalFormatting sqref="G28">
    <cfRule type="colorScale" priority="41">
      <colorScale>
        <cfvo type="num" val="75"/>
        <cfvo type="num" val="100"/>
        <color theme="6" tint="0.79998168889431442"/>
        <color theme="6" tint="-0.249977111117893"/>
      </colorScale>
    </cfRule>
  </conditionalFormatting>
  <conditionalFormatting sqref="H28">
    <cfRule type="cellIs" dxfId="9" priority="40" operator="between">
      <formula>0</formula>
      <formula>25</formula>
    </cfRule>
  </conditionalFormatting>
  <conditionalFormatting sqref="I28">
    <cfRule type="colorScale" priority="39">
      <colorScale>
        <cfvo type="num" val="25"/>
        <cfvo type="num" val="50"/>
        <color rgb="FFFFFF00"/>
        <color theme="6" tint="0.79998168889431442"/>
      </colorScale>
    </cfRule>
  </conditionalFormatting>
  <conditionalFormatting sqref="J28">
    <cfRule type="colorScale" priority="38">
      <colorScale>
        <cfvo type="num" val="50"/>
        <cfvo type="num" val="75"/>
        <color theme="9" tint="0.79998168889431442"/>
        <color theme="6" tint="0.59999389629810485"/>
      </colorScale>
    </cfRule>
  </conditionalFormatting>
  <conditionalFormatting sqref="K28">
    <cfRule type="colorScale" priority="37">
      <colorScale>
        <cfvo type="num" val="75"/>
        <cfvo type="num" val="100"/>
        <color theme="6" tint="0.79998168889431442"/>
        <color theme="6" tint="-0.249977111117893"/>
      </colorScale>
    </cfRule>
  </conditionalFormatting>
  <conditionalFormatting sqref="L28">
    <cfRule type="cellIs" dxfId="8" priority="36" operator="between">
      <formula>0</formula>
      <formula>25</formula>
    </cfRule>
  </conditionalFormatting>
  <conditionalFormatting sqref="M28">
    <cfRule type="colorScale" priority="35">
      <colorScale>
        <cfvo type="num" val="25"/>
        <cfvo type="num" val="50"/>
        <color rgb="FFFFFF00"/>
        <color theme="6" tint="0.79998168889431442"/>
      </colorScale>
    </cfRule>
  </conditionalFormatting>
  <conditionalFormatting sqref="N28">
    <cfRule type="colorScale" priority="34">
      <colorScale>
        <cfvo type="num" val="50"/>
        <cfvo type="num" val="75"/>
        <color theme="9" tint="0.79998168889431442"/>
        <color theme="6" tint="0.59999389629810485"/>
      </colorScale>
    </cfRule>
  </conditionalFormatting>
  <conditionalFormatting sqref="O28">
    <cfRule type="colorScale" priority="33">
      <colorScale>
        <cfvo type="num" val="75"/>
        <cfvo type="num" val="100"/>
        <color theme="6" tint="0.79998168889431442"/>
        <color theme="6" tint="-0.249977111117893"/>
      </colorScale>
    </cfRule>
  </conditionalFormatting>
  <conditionalFormatting sqref="P28">
    <cfRule type="cellIs" dxfId="7" priority="32" operator="between">
      <formula>0</formula>
      <formula>25</formula>
    </cfRule>
  </conditionalFormatting>
  <conditionalFormatting sqref="Q28">
    <cfRule type="colorScale" priority="31">
      <colorScale>
        <cfvo type="num" val="25"/>
        <cfvo type="num" val="50"/>
        <color rgb="FFFFFF00"/>
        <color theme="6" tint="0.79998168889431442"/>
      </colorScale>
    </cfRule>
  </conditionalFormatting>
  <conditionalFormatting sqref="R28">
    <cfRule type="colorScale" priority="30">
      <colorScale>
        <cfvo type="num" val="50"/>
        <cfvo type="num" val="75"/>
        <color theme="9" tint="0.79998168889431442"/>
        <color theme="6" tint="0.59999389629810485"/>
      </colorScale>
    </cfRule>
  </conditionalFormatting>
  <conditionalFormatting sqref="S28">
    <cfRule type="colorScale" priority="29">
      <colorScale>
        <cfvo type="num" val="75"/>
        <cfvo type="num" val="100"/>
        <color theme="6" tint="0.79998168889431442"/>
        <color theme="6" tint="-0.249977111117893"/>
      </colorScale>
    </cfRule>
  </conditionalFormatting>
  <conditionalFormatting sqref="D32">
    <cfRule type="cellIs" dxfId="6" priority="28" operator="between">
      <formula>0</formula>
      <formula>25</formula>
    </cfRule>
  </conditionalFormatting>
  <conditionalFormatting sqref="E32">
    <cfRule type="colorScale" priority="27">
      <colorScale>
        <cfvo type="num" val="25"/>
        <cfvo type="num" val="50"/>
        <color rgb="FFFFFF00"/>
        <color theme="6" tint="0.79998168889431442"/>
      </colorScale>
    </cfRule>
  </conditionalFormatting>
  <conditionalFormatting sqref="F32">
    <cfRule type="colorScale" priority="26">
      <colorScale>
        <cfvo type="num" val="50"/>
        <cfvo type="num" val="75"/>
        <color theme="9" tint="0.79998168889431442"/>
        <color theme="6" tint="0.59999389629810485"/>
      </colorScale>
    </cfRule>
  </conditionalFormatting>
  <conditionalFormatting sqref="G32">
    <cfRule type="colorScale" priority="25">
      <colorScale>
        <cfvo type="num" val="75"/>
        <cfvo type="num" val="100"/>
        <color theme="6" tint="0.79998168889431442"/>
        <color theme="6" tint="-0.249977111117893"/>
      </colorScale>
    </cfRule>
  </conditionalFormatting>
  <conditionalFormatting sqref="H32">
    <cfRule type="cellIs" dxfId="5" priority="24" operator="between">
      <formula>0</formula>
      <formula>25</formula>
    </cfRule>
  </conditionalFormatting>
  <conditionalFormatting sqref="I32">
    <cfRule type="colorScale" priority="23">
      <colorScale>
        <cfvo type="num" val="25"/>
        <cfvo type="num" val="50"/>
        <color rgb="FFFFFF00"/>
        <color theme="6" tint="0.79998168889431442"/>
      </colorScale>
    </cfRule>
  </conditionalFormatting>
  <conditionalFormatting sqref="J32">
    <cfRule type="colorScale" priority="22">
      <colorScale>
        <cfvo type="num" val="50"/>
        <cfvo type="num" val="75"/>
        <color theme="9" tint="0.79998168889431442"/>
        <color theme="6" tint="0.59999389629810485"/>
      </colorScale>
    </cfRule>
  </conditionalFormatting>
  <conditionalFormatting sqref="K32">
    <cfRule type="colorScale" priority="21">
      <colorScale>
        <cfvo type="num" val="75"/>
        <cfvo type="num" val="100"/>
        <color theme="6" tint="0.79998168889431442"/>
        <color theme="6" tint="-0.249977111117893"/>
      </colorScale>
    </cfRule>
  </conditionalFormatting>
  <conditionalFormatting sqref="L32">
    <cfRule type="cellIs" dxfId="4" priority="20" operator="between">
      <formula>0</formula>
      <formula>25</formula>
    </cfRule>
  </conditionalFormatting>
  <conditionalFormatting sqref="M32">
    <cfRule type="colorScale" priority="19">
      <colorScale>
        <cfvo type="num" val="25"/>
        <cfvo type="num" val="50"/>
        <color rgb="FFFFFF00"/>
        <color theme="6" tint="0.79998168889431442"/>
      </colorScale>
    </cfRule>
  </conditionalFormatting>
  <conditionalFormatting sqref="N32">
    <cfRule type="colorScale" priority="18">
      <colorScale>
        <cfvo type="num" val="50"/>
        <cfvo type="num" val="75"/>
        <color theme="9" tint="0.79998168889431442"/>
        <color theme="6" tint="0.59999389629810485"/>
      </colorScale>
    </cfRule>
  </conditionalFormatting>
  <conditionalFormatting sqref="O32">
    <cfRule type="colorScale" priority="17">
      <colorScale>
        <cfvo type="num" val="75"/>
        <cfvo type="num" val="100"/>
        <color theme="6" tint="0.79998168889431442"/>
        <color theme="6" tint="-0.249977111117893"/>
      </colorScale>
    </cfRule>
  </conditionalFormatting>
  <conditionalFormatting sqref="P32">
    <cfRule type="cellIs" dxfId="3" priority="16" operator="between">
      <formula>0</formula>
      <formula>25</formula>
    </cfRule>
  </conditionalFormatting>
  <conditionalFormatting sqref="Q32">
    <cfRule type="colorScale" priority="15">
      <colorScale>
        <cfvo type="num" val="25"/>
        <cfvo type="num" val="50"/>
        <color rgb="FFFFFF00"/>
        <color theme="6" tint="0.79998168889431442"/>
      </colorScale>
    </cfRule>
  </conditionalFormatting>
  <conditionalFormatting sqref="R32">
    <cfRule type="colorScale" priority="14">
      <colorScale>
        <cfvo type="num" val="50"/>
        <cfvo type="num" val="75"/>
        <color theme="9" tint="0.79998168889431442"/>
        <color theme="6" tint="0.59999389629810485"/>
      </colorScale>
    </cfRule>
  </conditionalFormatting>
  <conditionalFormatting sqref="S32">
    <cfRule type="colorScale" priority="13">
      <colorScale>
        <cfvo type="num" val="75"/>
        <cfvo type="num" val="100"/>
        <color theme="6" tint="0.79998168889431442"/>
        <color theme="6" tint="-0.249977111117893"/>
      </colorScale>
    </cfRule>
  </conditionalFormatting>
  <conditionalFormatting sqref="D20">
    <cfRule type="cellIs" dxfId="2" priority="12" operator="between">
      <formula>0</formula>
      <formula>1</formula>
    </cfRule>
  </conditionalFormatting>
  <conditionalFormatting sqref="E20">
    <cfRule type="colorScale" priority="11">
      <colorScale>
        <cfvo type="num" val="0"/>
        <cfvo type="num" val="1"/>
        <color rgb="FFFFFF00"/>
        <color theme="6" tint="0.79998168889431442"/>
      </colorScale>
    </cfRule>
  </conditionalFormatting>
  <conditionalFormatting sqref="F20">
    <cfRule type="colorScale" priority="10">
      <colorScale>
        <cfvo type="num" val="0"/>
        <cfvo type="num" val="1"/>
        <color theme="9" tint="0.79998168889431442"/>
        <color theme="6" tint="0.59999389629810485"/>
      </colorScale>
    </cfRule>
  </conditionalFormatting>
  <conditionalFormatting sqref="G20">
    <cfRule type="colorScale" priority="9">
      <colorScale>
        <cfvo type="num" val="0"/>
        <cfvo type="num" val="1"/>
        <color theme="6" tint="0.79998168889431442"/>
        <color theme="6" tint="-0.249977111117893"/>
      </colorScale>
    </cfRule>
  </conditionalFormatting>
  <conditionalFormatting sqref="L20">
    <cfRule type="cellIs" dxfId="1" priority="8" operator="between">
      <formula>0</formula>
      <formula>25</formula>
    </cfRule>
  </conditionalFormatting>
  <conditionalFormatting sqref="M20">
    <cfRule type="colorScale" priority="7">
      <colorScale>
        <cfvo type="num" val="25"/>
        <cfvo type="num" val="50"/>
        <color rgb="FFFFFF00"/>
        <color theme="6" tint="0.79998168889431442"/>
      </colorScale>
    </cfRule>
  </conditionalFormatting>
  <conditionalFormatting sqref="N20">
    <cfRule type="colorScale" priority="6">
      <colorScale>
        <cfvo type="num" val="50"/>
        <cfvo type="num" val="75"/>
        <color theme="9" tint="0.79998168889431442"/>
        <color theme="6" tint="0.59999389629810485"/>
      </colorScale>
    </cfRule>
  </conditionalFormatting>
  <conditionalFormatting sqref="O20">
    <cfRule type="colorScale" priority="5">
      <colorScale>
        <cfvo type="num" val="75"/>
        <cfvo type="num" val="100"/>
        <color theme="6" tint="0.79998168889431442"/>
        <color theme="6" tint="-0.249977111117893"/>
      </colorScale>
    </cfRule>
  </conditionalFormatting>
  <conditionalFormatting sqref="L20">
    <cfRule type="cellIs" dxfId="0" priority="4" operator="between">
      <formula>0</formula>
      <formula>1</formula>
    </cfRule>
  </conditionalFormatting>
  <conditionalFormatting sqref="M20">
    <cfRule type="colorScale" priority="3">
      <colorScale>
        <cfvo type="num" val="0"/>
        <cfvo type="num" val="1"/>
        <color rgb="FFFFFF00"/>
        <color theme="6" tint="0.79998168889431442"/>
      </colorScale>
    </cfRule>
  </conditionalFormatting>
  <conditionalFormatting sqref="N20">
    <cfRule type="colorScale" priority="2">
      <colorScale>
        <cfvo type="num" val="0"/>
        <cfvo type="num" val="1"/>
        <color theme="9" tint="0.79998168889431442"/>
        <color theme="6" tint="0.59999389629810485"/>
      </colorScale>
    </cfRule>
  </conditionalFormatting>
  <conditionalFormatting sqref="O20">
    <cfRule type="colorScale" priority="1">
      <colorScale>
        <cfvo type="num" val="0"/>
        <cfvo type="num" val="1"/>
        <color theme="6" tint="0.79998168889431442"/>
        <color theme="6" tint="-0.249977111117893"/>
      </colorScale>
    </cfRule>
  </conditionalFormatting>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ind 1</vt:lpstr>
      <vt:lpstr>ind 2</vt:lpstr>
      <vt:lpstr>ind 3</vt:lpstr>
      <vt:lpstr>ind 4</vt:lpstr>
      <vt:lpstr>ind 5</vt:lpstr>
      <vt:lpstr>ind 6</vt:lpstr>
      <vt:lpstr>ind 7</vt:lpstr>
      <vt:lpstr>ind 8</vt:lpstr>
      <vt:lpstr>Cuadro Resumen</vt:lpstr>
      <vt:lpstr>Pagos</vt:lpstr>
    </vt:vector>
  </TitlesOfParts>
  <Company>EEAS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GALLARD Patrick (EEAS-TEGUCIGALPA)</dc:creator>
  <cp:lastModifiedBy>Informatica</cp:lastModifiedBy>
  <dcterms:created xsi:type="dcterms:W3CDTF">2019-04-02T14:49:53Z</dcterms:created>
  <dcterms:modified xsi:type="dcterms:W3CDTF">2021-07-02T04:59:32Z</dcterms:modified>
</cp:coreProperties>
</file>