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P\Documents\AÑO 2023\Publicado Pag WEB\"/>
    </mc:Choice>
  </mc:AlternateContent>
  <bookViews>
    <workbookView xWindow="0" yWindow="0" windowWidth="15360" windowHeight="7650" activeTab="2"/>
  </bookViews>
  <sheets>
    <sheet name="PORTADA" sheetId="3" r:id="rId1"/>
    <sheet name="Principales Indicadores ML" sheetId="1" r:id="rId2"/>
    <sheet name="GRAFICO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M56" i="1" l="1"/>
  <c r="K56" i="1"/>
  <c r="I56" i="1"/>
  <c r="G56" i="1"/>
  <c r="F56" i="1"/>
  <c r="J56" i="1"/>
  <c r="N28" i="1" l="1"/>
  <c r="M27" i="1"/>
  <c r="M28" i="1"/>
  <c r="K28" i="1"/>
  <c r="H28" i="1"/>
  <c r="G28" i="1"/>
  <c r="G27" i="1"/>
  <c r="F28" i="1" l="1"/>
  <c r="C70" i="1" l="1"/>
  <c r="G70" i="1" s="1"/>
  <c r="H70" i="1"/>
  <c r="I70" i="1" s="1"/>
  <c r="D71" i="1"/>
  <c r="E71" i="1"/>
  <c r="H71" i="1"/>
  <c r="D72" i="1"/>
  <c r="E72" i="1"/>
  <c r="H72" i="1"/>
  <c r="D73" i="1"/>
  <c r="E73" i="1"/>
  <c r="H73" i="1"/>
  <c r="I73" i="1" s="1"/>
  <c r="D74" i="1"/>
  <c r="E74" i="1"/>
  <c r="H74" i="1"/>
  <c r="D75" i="1"/>
  <c r="E75" i="1"/>
  <c r="H75" i="1"/>
  <c r="F76" i="1"/>
  <c r="G76" i="1"/>
  <c r="H76" i="1"/>
  <c r="I76" i="1" s="1"/>
  <c r="M83" i="1"/>
  <c r="K83" i="1"/>
  <c r="I83" i="1"/>
  <c r="G83" i="1"/>
  <c r="F83" i="1"/>
  <c r="J83" i="1"/>
  <c r="F70" i="1" l="1"/>
  <c r="I75" i="1"/>
  <c r="I71" i="1"/>
  <c r="I74" i="1"/>
  <c r="I72" i="1"/>
  <c r="B70" i="1" l="1"/>
  <c r="G82" i="1" l="1"/>
  <c r="F82" i="1"/>
  <c r="F53" i="1" l="1"/>
  <c r="H36" i="1"/>
  <c r="H37" i="1"/>
  <c r="H38" i="1"/>
  <c r="I38" i="1" s="1"/>
  <c r="H49" i="1"/>
  <c r="H50" i="1"/>
  <c r="H51" i="1"/>
  <c r="H52" i="1"/>
  <c r="H53" i="1"/>
  <c r="H54" i="1"/>
  <c r="J54" i="1" s="1"/>
  <c r="H55" i="1"/>
  <c r="J55" i="1" s="1"/>
  <c r="H35" i="1"/>
  <c r="I8" i="1"/>
  <c r="G7" i="1" l="1"/>
  <c r="H7" i="1"/>
  <c r="I7" i="1"/>
  <c r="F7" i="1" s="1"/>
  <c r="K7" i="1"/>
  <c r="M7" i="1"/>
  <c r="N7" i="1" l="1"/>
  <c r="M82" i="1"/>
  <c r="K82" i="1"/>
  <c r="H82" i="1"/>
  <c r="J82" i="1" l="1"/>
  <c r="I82" i="1"/>
  <c r="H27" i="1"/>
  <c r="I27" i="1"/>
  <c r="K27" i="1"/>
  <c r="F55" i="1"/>
  <c r="G55" i="1"/>
  <c r="I55" i="1"/>
  <c r="K55" i="1"/>
  <c r="M55" i="1"/>
  <c r="N27" i="1" l="1"/>
  <c r="F27" i="1"/>
  <c r="H80" i="1"/>
  <c r="H79" i="1"/>
  <c r="J79" i="1" s="1"/>
  <c r="H81" i="1"/>
  <c r="J81" i="1" s="1"/>
  <c r="H77" i="1"/>
  <c r="J77" i="1" s="1"/>
  <c r="I80" i="1" l="1"/>
  <c r="J80" i="1"/>
  <c r="H78" i="1"/>
  <c r="J78" i="1" s="1"/>
  <c r="F77" i="1" l="1"/>
  <c r="G77" i="1"/>
  <c r="I77" i="1"/>
  <c r="K77" i="1"/>
  <c r="M77" i="1"/>
  <c r="F78" i="1"/>
  <c r="G78" i="1"/>
  <c r="I78" i="1"/>
  <c r="K78" i="1"/>
  <c r="M78" i="1"/>
  <c r="F79" i="1"/>
  <c r="G79" i="1"/>
  <c r="I79" i="1"/>
  <c r="K79" i="1"/>
  <c r="M79" i="1"/>
  <c r="F80" i="1"/>
  <c r="G80" i="1"/>
  <c r="K80" i="1"/>
  <c r="M80" i="1"/>
  <c r="F81" i="1"/>
  <c r="G81" i="1"/>
  <c r="I81" i="1"/>
  <c r="K81" i="1"/>
  <c r="M81" i="1"/>
  <c r="J51" i="1" l="1"/>
  <c r="J52" i="1"/>
  <c r="J53" i="1"/>
  <c r="J50" i="1"/>
  <c r="I24" i="1"/>
  <c r="I13" i="1"/>
  <c r="M50" i="1" l="1"/>
  <c r="M51" i="1"/>
  <c r="M52" i="1"/>
  <c r="M53" i="1"/>
  <c r="M54" i="1"/>
  <c r="K50" i="1"/>
  <c r="K51" i="1"/>
  <c r="K52" i="1"/>
  <c r="K53" i="1"/>
  <c r="K54" i="1"/>
  <c r="I50" i="1"/>
  <c r="I51" i="1"/>
  <c r="I52" i="1"/>
  <c r="I53" i="1"/>
  <c r="I54" i="1"/>
  <c r="G50" i="1"/>
  <c r="G51" i="1"/>
  <c r="G52" i="1"/>
  <c r="G53" i="1"/>
  <c r="G54" i="1"/>
  <c r="F50" i="1"/>
  <c r="F51" i="1"/>
  <c r="F52" i="1"/>
  <c r="F54" i="1"/>
  <c r="H24" i="1" l="1"/>
  <c r="H25" i="1"/>
  <c r="H26" i="1"/>
  <c r="H23" i="1"/>
  <c r="M23" i="1" l="1"/>
  <c r="M22" i="1" l="1"/>
  <c r="M24" i="1"/>
  <c r="M25" i="1"/>
  <c r="M26" i="1"/>
  <c r="M21" i="1"/>
  <c r="K21" i="1"/>
  <c r="K22" i="1"/>
  <c r="K23" i="1"/>
  <c r="K24" i="1"/>
  <c r="K25" i="1"/>
  <c r="K26" i="1"/>
  <c r="K20" i="1"/>
  <c r="I22" i="1"/>
  <c r="F22" i="1" s="1"/>
  <c r="I23" i="1"/>
  <c r="N23" i="1" s="1"/>
  <c r="F24" i="1"/>
  <c r="I25" i="1"/>
  <c r="F25" i="1" s="1"/>
  <c r="I26" i="1"/>
  <c r="F26" i="1" s="1"/>
  <c r="N22" i="1" l="1"/>
  <c r="N26" i="1"/>
  <c r="N25" i="1"/>
  <c r="N24" i="1"/>
  <c r="F23" i="1"/>
  <c r="I19" i="1"/>
  <c r="H21" i="1"/>
  <c r="H22" i="1"/>
  <c r="G22" i="1"/>
  <c r="G23" i="1"/>
  <c r="G24" i="1"/>
  <c r="G25" i="1"/>
  <c r="G26" i="1"/>
  <c r="G12" i="1"/>
  <c r="M76" i="1" l="1"/>
  <c r="K76" i="1"/>
  <c r="J76" i="1"/>
  <c r="N75" i="1"/>
  <c r="L75" i="1"/>
  <c r="C75" i="1"/>
  <c r="B75" i="1"/>
  <c r="N74" i="1"/>
  <c r="L74" i="1"/>
  <c r="C74" i="1"/>
  <c r="B74" i="1"/>
  <c r="N73" i="1"/>
  <c r="L73" i="1"/>
  <c r="C73" i="1"/>
  <c r="B73" i="1"/>
  <c r="N72" i="1"/>
  <c r="L72" i="1"/>
  <c r="B72" i="1"/>
  <c r="N71" i="1"/>
  <c r="L71" i="1"/>
  <c r="C71" i="1"/>
  <c r="B71" i="1"/>
  <c r="N70" i="1"/>
  <c r="L70" i="1"/>
  <c r="N69" i="1"/>
  <c r="L69" i="1"/>
  <c r="H69" i="1"/>
  <c r="E69" i="1"/>
  <c r="D69" i="1"/>
  <c r="C69" i="1"/>
  <c r="B69" i="1"/>
  <c r="N68" i="1"/>
  <c r="L68" i="1"/>
  <c r="H68" i="1"/>
  <c r="E68" i="1"/>
  <c r="G68" i="1" s="1"/>
  <c r="D68" i="1"/>
  <c r="B68" i="1"/>
  <c r="N67" i="1"/>
  <c r="L67" i="1"/>
  <c r="H67" i="1"/>
  <c r="E67" i="1"/>
  <c r="D67" i="1"/>
  <c r="C67" i="1"/>
  <c r="B67" i="1"/>
  <c r="N66" i="1"/>
  <c r="L66" i="1"/>
  <c r="H66" i="1"/>
  <c r="E66" i="1"/>
  <c r="D66" i="1"/>
  <c r="C66" i="1"/>
  <c r="B66" i="1"/>
  <c r="M65" i="1"/>
  <c r="K65" i="1"/>
  <c r="H65" i="1"/>
  <c r="J65" i="1" s="1"/>
  <c r="G65" i="1"/>
  <c r="F65" i="1"/>
  <c r="E64" i="1"/>
  <c r="D64" i="1"/>
  <c r="C64" i="1"/>
  <c r="B64" i="1"/>
  <c r="E63" i="1"/>
  <c r="D63" i="1"/>
  <c r="C63" i="1"/>
  <c r="B63" i="1"/>
  <c r="N62" i="1"/>
  <c r="L62" i="1"/>
  <c r="E62" i="1"/>
  <c r="D62" i="1"/>
  <c r="I62" i="1" s="1"/>
  <c r="C62" i="1"/>
  <c r="B62" i="1"/>
  <c r="M49" i="1"/>
  <c r="K49" i="1"/>
  <c r="J49" i="1"/>
  <c r="G49" i="1"/>
  <c r="F49" i="1"/>
  <c r="N48" i="1"/>
  <c r="L48" i="1"/>
  <c r="E48" i="1"/>
  <c r="D48" i="1"/>
  <c r="C48" i="1"/>
  <c r="B48" i="1"/>
  <c r="N47" i="1"/>
  <c r="L47" i="1"/>
  <c r="E47" i="1"/>
  <c r="D47" i="1"/>
  <c r="C47" i="1"/>
  <c r="B47" i="1"/>
  <c r="N46" i="1"/>
  <c r="L46" i="1"/>
  <c r="E46" i="1"/>
  <c r="D46" i="1"/>
  <c r="C46" i="1"/>
  <c r="B46" i="1"/>
  <c r="N45" i="1"/>
  <c r="L45" i="1"/>
  <c r="E45" i="1"/>
  <c r="D45" i="1"/>
  <c r="C45" i="1"/>
  <c r="B45" i="1"/>
  <c r="N44" i="1"/>
  <c r="L44" i="1"/>
  <c r="E44" i="1"/>
  <c r="D44" i="1"/>
  <c r="C44" i="1"/>
  <c r="B44" i="1"/>
  <c r="N43" i="1"/>
  <c r="L43" i="1"/>
  <c r="B43" i="1"/>
  <c r="N42" i="1"/>
  <c r="L42" i="1"/>
  <c r="E42" i="1"/>
  <c r="D42" i="1"/>
  <c r="B42" i="1"/>
  <c r="N41" i="1"/>
  <c r="L41" i="1"/>
  <c r="E41" i="1"/>
  <c r="D41" i="1"/>
  <c r="C41" i="1"/>
  <c r="B41" i="1"/>
  <c r="N40" i="1"/>
  <c r="L40" i="1"/>
  <c r="E40" i="1"/>
  <c r="D40" i="1"/>
  <c r="C40" i="1"/>
  <c r="B40" i="1"/>
  <c r="N39" i="1"/>
  <c r="L39" i="1"/>
  <c r="B39" i="1"/>
  <c r="M38" i="1"/>
  <c r="K38" i="1"/>
  <c r="J38" i="1"/>
  <c r="G38" i="1"/>
  <c r="F38" i="1"/>
  <c r="E37" i="1"/>
  <c r="D37" i="1"/>
  <c r="C37" i="1"/>
  <c r="B37" i="1"/>
  <c r="E36" i="1"/>
  <c r="D36" i="1"/>
  <c r="K36" i="1" s="1"/>
  <c r="C36" i="1"/>
  <c r="B36" i="1"/>
  <c r="E35" i="1"/>
  <c r="D35" i="1"/>
  <c r="C35" i="1"/>
  <c r="B35" i="1"/>
  <c r="I21" i="1"/>
  <c r="G21" i="1"/>
  <c r="M20" i="1"/>
  <c r="I20" i="1"/>
  <c r="F20" i="1" s="1"/>
  <c r="H20" i="1"/>
  <c r="G20" i="1"/>
  <c r="M19" i="1"/>
  <c r="K19" i="1"/>
  <c r="F19" i="1"/>
  <c r="C19" i="1"/>
  <c r="M18" i="1"/>
  <c r="K18" i="1"/>
  <c r="I18" i="1"/>
  <c r="F18" i="1" s="1"/>
  <c r="H18" i="1"/>
  <c r="G18" i="1"/>
  <c r="M17" i="1"/>
  <c r="K17" i="1"/>
  <c r="I17" i="1"/>
  <c r="F17" i="1" s="1"/>
  <c r="C17" i="1"/>
  <c r="H17" i="1" s="1"/>
  <c r="B17" i="1"/>
  <c r="M16" i="1"/>
  <c r="K16" i="1"/>
  <c r="I16" i="1"/>
  <c r="F16" i="1" s="1"/>
  <c r="H16" i="1"/>
  <c r="G16" i="1"/>
  <c r="M15" i="1"/>
  <c r="K15" i="1"/>
  <c r="I15" i="1"/>
  <c r="F15" i="1" s="1"/>
  <c r="H15" i="1"/>
  <c r="G15" i="1"/>
  <c r="M14" i="1"/>
  <c r="K14" i="1"/>
  <c r="I14" i="1"/>
  <c r="N14" i="1" s="1"/>
  <c r="H14" i="1"/>
  <c r="G14" i="1"/>
  <c r="M13" i="1"/>
  <c r="K13" i="1"/>
  <c r="N13" i="1"/>
  <c r="H13" i="1"/>
  <c r="G13" i="1"/>
  <c r="F13" i="1"/>
  <c r="M12" i="1"/>
  <c r="K12" i="1"/>
  <c r="I12" i="1"/>
  <c r="N12" i="1" s="1"/>
  <c r="H12" i="1"/>
  <c r="F12" i="1"/>
  <c r="M11" i="1"/>
  <c r="K11" i="1"/>
  <c r="I11" i="1"/>
  <c r="N11" i="1" s="1"/>
  <c r="H11" i="1"/>
  <c r="G11" i="1"/>
  <c r="M10" i="1"/>
  <c r="K10" i="1"/>
  <c r="I10" i="1"/>
  <c r="F10" i="1" s="1"/>
  <c r="H10" i="1"/>
  <c r="G10" i="1"/>
  <c r="M9" i="1"/>
  <c r="K9" i="1"/>
  <c r="I9" i="1"/>
  <c r="N9" i="1" s="1"/>
  <c r="H9" i="1"/>
  <c r="G9" i="1"/>
  <c r="M8" i="1"/>
  <c r="K8" i="1"/>
  <c r="F8" i="1"/>
  <c r="H8" i="1"/>
  <c r="G8" i="1"/>
  <c r="F73" i="1" l="1"/>
  <c r="G73" i="1"/>
  <c r="F71" i="1"/>
  <c r="G71" i="1"/>
  <c r="G75" i="1"/>
  <c r="F75" i="1"/>
  <c r="F74" i="1"/>
  <c r="G74" i="1"/>
  <c r="H41" i="1"/>
  <c r="I41" i="1" s="1"/>
  <c r="H45" i="1"/>
  <c r="I45" i="1" s="1"/>
  <c r="H42" i="1"/>
  <c r="I42" i="1" s="1"/>
  <c r="H46" i="1"/>
  <c r="I46" i="1" s="1"/>
  <c r="J66" i="1"/>
  <c r="J72" i="1"/>
  <c r="H40" i="1"/>
  <c r="I40" i="1" s="1"/>
  <c r="H44" i="1"/>
  <c r="I44" i="1" s="1"/>
  <c r="J69" i="1"/>
  <c r="J67" i="1"/>
  <c r="J35" i="1"/>
  <c r="J70" i="1"/>
  <c r="K64" i="1"/>
  <c r="J64" i="1"/>
  <c r="J73" i="1"/>
  <c r="J71" i="1"/>
  <c r="M63" i="1"/>
  <c r="J63" i="1"/>
  <c r="H48" i="1"/>
  <c r="J48" i="1" s="1"/>
  <c r="F68" i="1"/>
  <c r="J68" i="1"/>
  <c r="J75" i="1"/>
  <c r="H39" i="1"/>
  <c r="H43" i="1"/>
  <c r="J43" i="1" s="1"/>
  <c r="H47" i="1"/>
  <c r="J47" i="1" s="1"/>
  <c r="J74" i="1"/>
  <c r="F14" i="1"/>
  <c r="F66" i="1"/>
  <c r="K73" i="1"/>
  <c r="F64" i="1"/>
  <c r="G19" i="1"/>
  <c r="H19" i="1"/>
  <c r="N21" i="1"/>
  <c r="F21" i="1"/>
  <c r="K37" i="1"/>
  <c r="J37" i="1"/>
  <c r="M75" i="1"/>
  <c r="G46" i="1"/>
  <c r="M66" i="1"/>
  <c r="F40" i="1"/>
  <c r="K47" i="1"/>
  <c r="M48" i="1"/>
  <c r="K75" i="1"/>
  <c r="M47" i="1"/>
  <c r="M74" i="1"/>
  <c r="K45" i="1"/>
  <c r="F46" i="1"/>
  <c r="G37" i="1"/>
  <c r="G67" i="1"/>
  <c r="M37" i="1"/>
  <c r="C72" i="1"/>
  <c r="K74" i="1"/>
  <c r="M67" i="1"/>
  <c r="M73" i="1"/>
  <c r="G63" i="1"/>
  <c r="F43" i="1"/>
  <c r="G43" i="1"/>
  <c r="M71" i="1"/>
  <c r="G42" i="1"/>
  <c r="I68" i="1"/>
  <c r="F41" i="1"/>
  <c r="F11" i="1"/>
  <c r="G35" i="1"/>
  <c r="M39" i="1"/>
  <c r="M40" i="1"/>
  <c r="F39" i="1"/>
  <c r="G39" i="1"/>
  <c r="G40" i="1"/>
  <c r="G41" i="1"/>
  <c r="K71" i="1"/>
  <c r="M72" i="1"/>
  <c r="J36" i="1"/>
  <c r="K42" i="1"/>
  <c r="G64" i="1"/>
  <c r="I69" i="1"/>
  <c r="G17" i="1"/>
  <c r="M36" i="1"/>
  <c r="K41" i="1"/>
  <c r="G48" i="1"/>
  <c r="M64" i="1"/>
  <c r="M70" i="1"/>
  <c r="F35" i="1"/>
  <c r="G66" i="1"/>
  <c r="F67" i="1"/>
  <c r="N10" i="1"/>
  <c r="K35" i="1"/>
  <c r="F44" i="1"/>
  <c r="J45" i="1"/>
  <c r="F47" i="1"/>
  <c r="F37" i="1"/>
  <c r="K40" i="1"/>
  <c r="G44" i="1"/>
  <c r="G47" i="1"/>
  <c r="G62" i="1"/>
  <c r="F63" i="1"/>
  <c r="I66" i="1"/>
  <c r="J62" i="1"/>
  <c r="I63" i="1"/>
  <c r="G69" i="1"/>
  <c r="M41" i="1"/>
  <c r="M42" i="1"/>
  <c r="J46" i="1"/>
  <c r="K66" i="1"/>
  <c r="K43" i="1"/>
  <c r="K44" i="1"/>
  <c r="F48" i="1"/>
  <c r="I67" i="1"/>
  <c r="K69" i="1"/>
  <c r="K70" i="1"/>
  <c r="F36" i="1"/>
  <c r="M43" i="1"/>
  <c r="K67" i="1"/>
  <c r="K68" i="1"/>
  <c r="K72" i="1"/>
  <c r="I35" i="1"/>
  <c r="I36" i="1"/>
  <c r="J42" i="1"/>
  <c r="K48" i="1"/>
  <c r="M68" i="1"/>
  <c r="K39" i="1"/>
  <c r="M45" i="1"/>
  <c r="K62" i="1"/>
  <c r="M69" i="1"/>
  <c r="G36" i="1"/>
  <c r="F45" i="1"/>
  <c r="F69" i="1"/>
  <c r="N20" i="1"/>
  <c r="F42" i="1"/>
  <c r="G45" i="1"/>
  <c r="M62" i="1"/>
  <c r="N8" i="1"/>
  <c r="N16" i="1"/>
  <c r="N18" i="1"/>
  <c r="N19" i="1"/>
  <c r="M35" i="1"/>
  <c r="M44" i="1"/>
  <c r="K46" i="1"/>
  <c r="I65" i="1"/>
  <c r="F9" i="1"/>
  <c r="N15" i="1"/>
  <c r="N17" i="1"/>
  <c r="I37" i="1"/>
  <c r="I49" i="1"/>
  <c r="F62" i="1"/>
  <c r="K63" i="1"/>
  <c r="I64" i="1"/>
  <c r="M46" i="1"/>
  <c r="J39" i="1" l="1"/>
  <c r="I39" i="1"/>
  <c r="F72" i="1"/>
  <c r="G72" i="1"/>
  <c r="I48" i="1"/>
  <c r="I43" i="1"/>
  <c r="J44" i="1"/>
  <c r="J41" i="1"/>
  <c r="J40" i="1"/>
  <c r="I47" i="1"/>
</calcChain>
</file>

<file path=xl/sharedStrings.xml><?xml version="1.0" encoding="utf-8"?>
<sst xmlns="http://schemas.openxmlformats.org/spreadsheetml/2006/main" count="59" uniqueCount="25">
  <si>
    <t>AÑO</t>
  </si>
  <si>
    <t>PET</t>
  </si>
  <si>
    <t>PEA</t>
  </si>
  <si>
    <t>Ocupados General</t>
  </si>
  <si>
    <t>Desocupados</t>
  </si>
  <si>
    <t>Ocupado Pleno</t>
  </si>
  <si>
    <t>Tasa de Empleo</t>
  </si>
  <si>
    <t>Tasa de desempleo</t>
  </si>
  <si>
    <t>Sub Empleo</t>
  </si>
  <si>
    <t>Sub empleo Visible</t>
  </si>
  <si>
    <t>TSV</t>
  </si>
  <si>
    <t>Sub empleo Invisible</t>
  </si>
  <si>
    <t>TSI</t>
  </si>
  <si>
    <t xml:space="preserve">Tasa de Sub Empleo </t>
  </si>
  <si>
    <t>Fuente: OML sobre la base de datos  oficiales de la la Encuesta de Hogares del INE.</t>
  </si>
  <si>
    <t>Empleo</t>
  </si>
  <si>
    <t xml:space="preserve">Empleo, Desempleo,Sub empleo y sus respectivas Tasas </t>
  </si>
  <si>
    <r>
      <rPr>
        <b/>
        <sz val="11"/>
        <color rgb="FFFF0000"/>
        <rFont val="Calibri"/>
        <family val="2"/>
        <scheme val="minor"/>
      </rPr>
      <t>Nota:</t>
    </r>
    <r>
      <rPr>
        <sz val="11"/>
        <color theme="1"/>
        <rFont val="Calibri"/>
        <family val="2"/>
        <scheme val="minor"/>
      </rPr>
      <t xml:space="preserve"> Las bases de 2020 y 2021, se hizo el levantamiento de las encuesta por vía telefónica.</t>
    </r>
  </si>
  <si>
    <t>Fuente: OML sobre la base de datos, oficiales de la Encuesta de Hogares del INE 2001-2022</t>
  </si>
  <si>
    <t>Ocupados</t>
  </si>
  <si>
    <t>Principales Indicadores del Mercado Laboral 2001-2022 - Hombres</t>
  </si>
  <si>
    <t>HONDURAS: Principales Indicadores del Mercado Laboral 2001-2022</t>
  </si>
  <si>
    <t>Las bases de 2020 y 2021, se hizo el levantamiento de las encuesta por vía telefónica.</t>
  </si>
  <si>
    <t>Principales Indicadores del Mercado Laboral 2001-2022 - Mujeres</t>
  </si>
  <si>
    <t>Empleo, Desempleo,Sub empleo y sus respectivas Tasas  2020-2022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</si>
</sst>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_-* #,##0.00\ _€_-;\-* #,##0.00\ _€_-;_-* &quot;-&quot;??\ _€_-;_-@_-"/>
    <numFmt numFmtId="165" formatCode="_-* #,##0_-;\-* #,##0_-;_-* &quot;-&quot;??_-;_-@_-"/>
    <numFmt numFmtId="166" formatCode="0.0%"/>
    <numFmt numFmtId="167" formatCode="_(* #,##0_);_(* \(#,##0\);_(* &quot;-&quot;??_);_(@_)"/>
    <numFmt numFmtId="168" formatCode="_(* #,##0.00_);_(* \(#,##0.00\);_(* &quot;-&quot;??_);_(@_)"/>
    <numFmt numFmtId="169" formatCode="#,##0_ ;\-#,##0\ "/>
    <numFmt numFmtId="170" formatCode="_-[$€]* #,##0.00_-;\-[$€]* #,##0.00_-;_-[$€]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theme="1"/>
      <name val="Calibri"/>
      <family val="2"/>
      <scheme val="minor"/>
    </font>
    <font>
      <b/>
      <sz val="16"/>
      <name val="Calibri"/>
      <family val="2"/>
      <scheme val="minor"/>
    </font>
    <font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theme="1"/>
      <name val="Arial"/>
      <family val="2"/>
    </font>
    <font>
      <b/>
      <sz val="14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9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168" fontId="6" fillId="0" borderId="0" applyFont="0" applyFill="0" applyBorder="0" applyAlignment="0" applyProtection="0"/>
    <xf numFmtId="0" fontId="6" fillId="0" borderId="0"/>
    <xf numFmtId="170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5" fillId="0" borderId="0"/>
    <xf numFmtId="0" fontId="6" fillId="0" borderId="0"/>
    <xf numFmtId="0" fontId="1" fillId="0" borderId="0"/>
    <xf numFmtId="0" fontId="6" fillId="0" borderId="0"/>
  </cellStyleXfs>
  <cellXfs count="71">
    <xf numFmtId="0" fontId="0" fillId="0" borderId="0" xfId="0"/>
    <xf numFmtId="0" fontId="7" fillId="2" borderId="0" xfId="4" applyFont="1" applyFill="1" applyBorder="1" applyAlignment="1"/>
    <xf numFmtId="0" fontId="5" fillId="2" borderId="0" xfId="4" applyFill="1" applyBorder="1" applyAlignment="1">
      <alignment horizontal="left" indent="1"/>
    </xf>
    <xf numFmtId="0" fontId="0" fillId="2" borderId="0" xfId="0" applyFill="1" applyBorder="1"/>
    <xf numFmtId="0" fontId="0" fillId="2" borderId="0" xfId="0" applyFont="1" applyFill="1" applyBorder="1"/>
    <xf numFmtId="0" fontId="3" fillId="2" borderId="0" xfId="0" applyFont="1" applyFill="1" applyBorder="1"/>
    <xf numFmtId="0" fontId="0" fillId="2" borderId="0" xfId="0" applyFill="1" applyBorder="1" applyAlignment="1">
      <alignment horizontal="right"/>
    </xf>
    <xf numFmtId="166" fontId="9" fillId="2" borderId="0" xfId="2" applyNumberFormat="1" applyFont="1" applyFill="1" applyBorder="1" applyAlignment="1">
      <alignment horizontal="center" vertical="top"/>
    </xf>
    <xf numFmtId="166" fontId="0" fillId="0" borderId="0" xfId="2" applyNumberFormat="1" applyFont="1"/>
    <xf numFmtId="0" fontId="10" fillId="2" borderId="1" xfId="0" applyFont="1" applyFill="1" applyBorder="1" applyAlignment="1">
      <alignment horizontal="center"/>
    </xf>
    <xf numFmtId="3" fontId="0" fillId="0" borderId="0" xfId="0" applyNumberFormat="1"/>
    <xf numFmtId="3" fontId="0" fillId="2" borderId="6" xfId="0" applyNumberFormat="1" applyFont="1" applyFill="1" applyBorder="1" applyAlignment="1">
      <alignment horizontal="center" vertical="top"/>
    </xf>
    <xf numFmtId="166" fontId="2" fillId="2" borderId="7" xfId="2" applyNumberFormat="1" applyFont="1" applyFill="1" applyBorder="1" applyAlignment="1">
      <alignment horizontal="center"/>
    </xf>
    <xf numFmtId="166" fontId="2" fillId="2" borderId="6" xfId="2" applyNumberFormat="1" applyFont="1" applyFill="1" applyBorder="1" applyAlignment="1">
      <alignment horizontal="center" vertical="top"/>
    </xf>
    <xf numFmtId="166" fontId="2" fillId="2" borderId="6" xfId="2" applyNumberFormat="1" applyFont="1" applyFill="1" applyBorder="1" applyAlignment="1">
      <alignment horizontal="center"/>
    </xf>
    <xf numFmtId="166" fontId="2" fillId="2" borderId="7" xfId="2" applyNumberFormat="1" applyFont="1" applyFill="1" applyBorder="1" applyAlignment="1">
      <alignment horizontal="center" vertical="top"/>
    </xf>
    <xf numFmtId="166" fontId="2" fillId="2" borderId="9" xfId="2" applyNumberFormat="1" applyFont="1" applyFill="1" applyBorder="1" applyAlignment="1">
      <alignment horizontal="center" vertical="top"/>
    </xf>
    <xf numFmtId="166" fontId="2" fillId="2" borderId="10" xfId="2" applyNumberFormat="1" applyFont="1" applyFill="1" applyBorder="1" applyAlignment="1">
      <alignment horizontal="center" vertical="top"/>
    </xf>
    <xf numFmtId="0" fontId="2" fillId="3" borderId="5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13" fillId="2" borderId="0" xfId="4" applyFont="1" applyFill="1" applyBorder="1" applyAlignment="1"/>
    <xf numFmtId="0" fontId="12" fillId="0" borderId="0" xfId="0" applyFont="1"/>
    <xf numFmtId="166" fontId="4" fillId="2" borderId="0" xfId="2" applyNumberFormat="1" applyFont="1" applyFill="1" applyBorder="1" applyAlignment="1">
      <alignment horizontal="center" vertical="top"/>
    </xf>
    <xf numFmtId="166" fontId="4" fillId="2" borderId="0" xfId="2" applyNumberFormat="1" applyFont="1" applyFill="1" applyBorder="1" applyAlignment="1">
      <alignment horizontal="center"/>
    </xf>
    <xf numFmtId="3" fontId="12" fillId="0" borderId="0" xfId="0" applyNumberFormat="1" applyFont="1"/>
    <xf numFmtId="3" fontId="0" fillId="2" borderId="9" xfId="0" applyNumberFormat="1" applyFont="1" applyFill="1" applyBorder="1" applyAlignment="1">
      <alignment horizontal="center" vertical="top"/>
    </xf>
    <xf numFmtId="0" fontId="6" fillId="0" borderId="0" xfId="18"/>
    <xf numFmtId="0" fontId="11" fillId="2" borderId="0" xfId="4" applyFont="1" applyFill="1" applyBorder="1" applyAlignment="1">
      <alignment horizontal="left" indent="1"/>
    </xf>
    <xf numFmtId="0" fontId="12" fillId="2" borderId="0" xfId="0" applyFont="1" applyFill="1" applyBorder="1"/>
    <xf numFmtId="0" fontId="12" fillId="2" borderId="11" xfId="0" applyFont="1" applyFill="1" applyBorder="1"/>
    <xf numFmtId="3" fontId="17" fillId="2" borderId="6" xfId="1" applyNumberFormat="1" applyFont="1" applyFill="1" applyBorder="1" applyAlignment="1">
      <alignment horizontal="center" vertical="top"/>
    </xf>
    <xf numFmtId="165" fontId="17" fillId="2" borderId="6" xfId="1" applyNumberFormat="1" applyFont="1" applyFill="1" applyBorder="1" applyAlignment="1">
      <alignment horizontal="center" vertical="top"/>
    </xf>
    <xf numFmtId="165" fontId="0" fillId="2" borderId="6" xfId="0" applyNumberFormat="1" applyFont="1" applyFill="1" applyBorder="1" applyAlignment="1">
      <alignment horizontal="center" vertical="top"/>
    </xf>
    <xf numFmtId="3" fontId="17" fillId="2" borderId="6" xfId="3" applyNumberFormat="1" applyFont="1" applyFill="1" applyBorder="1" applyAlignment="1">
      <alignment horizontal="center" vertical="top"/>
    </xf>
    <xf numFmtId="167" fontId="0" fillId="2" borderId="6" xfId="0" applyNumberFormat="1" applyFont="1" applyFill="1" applyBorder="1" applyAlignment="1">
      <alignment horizontal="center" vertical="top"/>
    </xf>
    <xf numFmtId="3" fontId="17" fillId="2" borderId="6" xfId="4" applyNumberFormat="1" applyFont="1" applyFill="1" applyBorder="1" applyAlignment="1">
      <alignment horizontal="center" vertical="top"/>
    </xf>
    <xf numFmtId="3" fontId="0" fillId="2" borderId="6" xfId="5" applyNumberFormat="1" applyFont="1" applyFill="1" applyBorder="1" applyAlignment="1">
      <alignment horizontal="center" vertical="top"/>
    </xf>
    <xf numFmtId="3" fontId="17" fillId="2" borderId="9" xfId="4" applyNumberFormat="1" applyFont="1" applyFill="1" applyBorder="1" applyAlignment="1">
      <alignment horizontal="center" vertical="top"/>
    </xf>
    <xf numFmtId="165" fontId="0" fillId="2" borderId="9" xfId="0" applyNumberFormat="1" applyFont="1" applyFill="1" applyBorder="1" applyAlignment="1">
      <alignment horizontal="center" vertical="top"/>
    </xf>
    <xf numFmtId="167" fontId="0" fillId="2" borderId="9" xfId="0" applyNumberFormat="1" applyFont="1" applyFill="1" applyBorder="1" applyAlignment="1">
      <alignment horizontal="center" vertical="top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166" fontId="18" fillId="2" borderId="6" xfId="2" applyNumberFormat="1" applyFont="1" applyFill="1" applyBorder="1" applyAlignment="1">
      <alignment horizontal="center" vertical="top"/>
    </xf>
    <xf numFmtId="166" fontId="18" fillId="2" borderId="6" xfId="2" applyNumberFormat="1" applyFont="1" applyFill="1" applyBorder="1" applyAlignment="1">
      <alignment horizontal="center"/>
    </xf>
    <xf numFmtId="166" fontId="18" fillId="2" borderId="6" xfId="2" applyNumberFormat="1" applyFont="1" applyFill="1" applyBorder="1" applyAlignment="1">
      <alignment horizontal="center" vertical="center"/>
    </xf>
    <xf numFmtId="3" fontId="17" fillId="2" borderId="6" xfId="6" applyNumberFormat="1" applyFont="1" applyFill="1" applyBorder="1" applyAlignment="1">
      <alignment horizontal="center" vertical="top"/>
    </xf>
    <xf numFmtId="166" fontId="18" fillId="2" borderId="9" xfId="2" applyNumberFormat="1" applyFont="1" applyFill="1" applyBorder="1" applyAlignment="1">
      <alignment horizontal="center"/>
    </xf>
    <xf numFmtId="166" fontId="18" fillId="2" borderId="9" xfId="2" applyNumberFormat="1" applyFont="1" applyFill="1" applyBorder="1" applyAlignment="1">
      <alignment horizontal="center" vertical="center"/>
    </xf>
    <xf numFmtId="3" fontId="0" fillId="2" borderId="7" xfId="0" applyNumberFormat="1" applyFont="1" applyFill="1" applyBorder="1" applyAlignment="1">
      <alignment horizontal="center" vertical="top"/>
    </xf>
    <xf numFmtId="3" fontId="0" fillId="0" borderId="7" xfId="0" applyNumberFormat="1" applyFont="1" applyFill="1" applyBorder="1" applyAlignment="1">
      <alignment horizontal="center" vertical="top"/>
    </xf>
    <xf numFmtId="3" fontId="0" fillId="0" borderId="6" xfId="0" applyNumberFormat="1" applyFont="1" applyFill="1" applyBorder="1" applyAlignment="1">
      <alignment horizontal="center" vertical="top"/>
    </xf>
    <xf numFmtId="3" fontId="17" fillId="2" borderId="9" xfId="1" applyNumberFormat="1" applyFont="1" applyFill="1" applyBorder="1" applyAlignment="1">
      <alignment horizontal="center" vertical="top"/>
    </xf>
    <xf numFmtId="3" fontId="0" fillId="0" borderId="9" xfId="0" applyNumberFormat="1" applyFont="1" applyFill="1" applyBorder="1" applyAlignment="1">
      <alignment horizontal="center" vertical="top"/>
    </xf>
    <xf numFmtId="3" fontId="0" fillId="0" borderId="10" xfId="0" applyNumberFormat="1" applyFont="1" applyFill="1" applyBorder="1" applyAlignment="1">
      <alignment horizontal="center" vertical="top"/>
    </xf>
    <xf numFmtId="3" fontId="19" fillId="2" borderId="6" xfId="7" applyNumberFormat="1" applyFont="1" applyFill="1" applyBorder="1" applyAlignment="1">
      <alignment horizontal="center" vertical="top"/>
    </xf>
    <xf numFmtId="3" fontId="19" fillId="2" borderId="7" xfId="7" applyNumberFormat="1" applyFont="1" applyFill="1" applyBorder="1" applyAlignment="1">
      <alignment horizontal="center" vertical="top"/>
    </xf>
    <xf numFmtId="3" fontId="17" fillId="2" borderId="7" xfId="1" applyNumberFormat="1" applyFont="1" applyFill="1" applyBorder="1" applyAlignment="1">
      <alignment horizontal="center" vertical="top"/>
    </xf>
    <xf numFmtId="3" fontId="17" fillId="2" borderId="7" xfId="3" applyNumberFormat="1" applyFont="1" applyFill="1" applyBorder="1" applyAlignment="1">
      <alignment horizontal="center" vertical="top"/>
    </xf>
    <xf numFmtId="3" fontId="17" fillId="2" borderId="7" xfId="6" applyNumberFormat="1" applyFont="1" applyFill="1" applyBorder="1" applyAlignment="1">
      <alignment horizontal="center" vertical="top"/>
    </xf>
    <xf numFmtId="9" fontId="2" fillId="2" borderId="6" xfId="2" applyNumberFormat="1" applyFont="1" applyFill="1" applyBorder="1" applyAlignment="1">
      <alignment horizontal="center"/>
    </xf>
    <xf numFmtId="166" fontId="2" fillId="2" borderId="9" xfId="2" applyNumberFormat="1" applyFont="1" applyFill="1" applyBorder="1" applyAlignment="1">
      <alignment horizontal="center"/>
    </xf>
    <xf numFmtId="169" fontId="17" fillId="2" borderId="6" xfId="1" applyNumberFormat="1" applyFont="1" applyFill="1" applyBorder="1" applyAlignment="1">
      <alignment horizontal="center" vertical="top"/>
    </xf>
    <xf numFmtId="9" fontId="18" fillId="2" borderId="6" xfId="2" applyNumberFormat="1" applyFont="1" applyFill="1" applyBorder="1" applyAlignment="1">
      <alignment horizontal="center"/>
    </xf>
    <xf numFmtId="9" fontId="18" fillId="2" borderId="6" xfId="2" applyNumberFormat="1" applyFont="1" applyFill="1" applyBorder="1" applyAlignment="1">
      <alignment horizontal="center" vertical="center"/>
    </xf>
    <xf numFmtId="169" fontId="17" fillId="2" borderId="9" xfId="1" applyNumberFormat="1" applyFont="1" applyFill="1" applyBorder="1" applyAlignment="1">
      <alignment horizontal="center" vertical="top"/>
    </xf>
    <xf numFmtId="0" fontId="16" fillId="2" borderId="0" xfId="0" applyFont="1" applyFill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8" fillId="2" borderId="0" xfId="4" applyFont="1" applyFill="1" applyBorder="1" applyAlignment="1">
      <alignment horizontal="center"/>
    </xf>
    <xf numFmtId="0" fontId="16" fillId="2" borderId="0" xfId="0" applyFont="1" applyFill="1" applyBorder="1" applyAlignment="1">
      <alignment horizontal="center" wrapText="1"/>
    </xf>
  </cellXfs>
  <cellStyles count="19">
    <cellStyle name="Euro" xfId="8"/>
    <cellStyle name="Millares" xfId="1" builtinId="3"/>
    <cellStyle name="Millares 10" xfId="5"/>
    <cellStyle name="Millares 2" xfId="3"/>
    <cellStyle name="Millares 2 2" xfId="6"/>
    <cellStyle name="Millares 2 3" xfId="9"/>
    <cellStyle name="Millares 4" xfId="10"/>
    <cellStyle name="Millares 5" xfId="11"/>
    <cellStyle name="Millares 7" xfId="12"/>
    <cellStyle name="Millares 8" xfId="13"/>
    <cellStyle name="Normal" xfId="0" builtinId="0"/>
    <cellStyle name="Normal 2" xfId="4"/>
    <cellStyle name="Normal 2 2" xfId="14"/>
    <cellStyle name="Normal 3" xfId="15"/>
    <cellStyle name="Normal 7" xfId="16"/>
    <cellStyle name="Normal_2001-2021_1" xfId="18"/>
    <cellStyle name="Normal_Hoja1" xfId="7"/>
    <cellStyle name="Porcentaje" xfId="2" builtinId="5"/>
    <cellStyle name="style1645816145860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externalLink" Target="externalLinks/externalLink39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9" Type="http://schemas.openxmlformats.org/officeDocument/2006/relationships/externalLink" Target="externalLinks/externalLink26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45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theme" Target="theme/theme1.xml"/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46" Type="http://schemas.openxmlformats.org/officeDocument/2006/relationships/calcChain" Target="calcChain.xml"/><Relationship Id="rId20" Type="http://schemas.openxmlformats.org/officeDocument/2006/relationships/externalLink" Target="externalLinks/externalLink17.xml"/><Relationship Id="rId41" Type="http://schemas.openxmlformats.org/officeDocument/2006/relationships/externalLink" Target="externalLinks/externalLink3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HN" b="1">
                <a:solidFill>
                  <a:sysClr val="windowText" lastClr="000000"/>
                </a:solidFill>
              </a:rPr>
              <a:t>Tasas 2020-2022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HN"/>
        </a:p>
      </c:txPr>
    </c:title>
    <c:autoTitleDeleted val="0"/>
    <c:view3D>
      <c:rotX val="15"/>
      <c:rotY val="20"/>
      <c:depthPercent val="10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solidFill>
          <a:schemeClr val="bg1"/>
        </a:solidFill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sideWall>
    <c:backWall>
      <c:thickness val="0"/>
      <c:spPr>
        <a:solidFill>
          <a:schemeClr val="bg1"/>
        </a:solidFill>
        <a:ln>
          <a:solidFill>
            <a:schemeClr val="accent6">
              <a:lumMod val="40000"/>
              <a:lumOff val="60000"/>
            </a:schemeClr>
          </a:solidFill>
        </a:ln>
        <a:effectLst/>
        <a:sp3d>
          <a:contourClr>
            <a:schemeClr val="accent6">
              <a:lumMod val="40000"/>
              <a:lumOff val="60000"/>
            </a:schemeClr>
          </a:contourClr>
        </a:sp3d>
      </c:spPr>
    </c:backWall>
    <c:plotArea>
      <c:layout>
        <c:manualLayout>
          <c:layoutTarget val="inner"/>
          <c:xMode val="edge"/>
          <c:yMode val="edge"/>
          <c:x val="6.1028166583484172E-2"/>
          <c:y val="0.16435814455231934"/>
          <c:w val="0.90940790829565288"/>
          <c:h val="0.5937500530880242"/>
        </c:manualLayout>
      </c:layout>
      <c:bar3DChart>
        <c:barDir val="col"/>
        <c:grouping val="percentStacked"/>
        <c:varyColors val="0"/>
        <c:ser>
          <c:idx val="0"/>
          <c:order val="0"/>
          <c:tx>
            <c:strRef>
              <c:f>GRAFICO!$B$8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GRAFICO!$C$7:$G$7</c:f>
              <c:strCache>
                <c:ptCount val="5"/>
                <c:pt idx="0">
                  <c:v>Tasa de Empleo</c:v>
                </c:pt>
                <c:pt idx="1">
                  <c:v>Tasa de desempleo</c:v>
                </c:pt>
                <c:pt idx="2">
                  <c:v>TSV</c:v>
                </c:pt>
                <c:pt idx="3">
                  <c:v>TSI</c:v>
                </c:pt>
                <c:pt idx="4">
                  <c:v>Tasa de Sub Empleo </c:v>
                </c:pt>
              </c:strCache>
            </c:strRef>
          </c:cat>
          <c:val>
            <c:numRef>
              <c:f>GRAFICO!$C$8:$G$8</c:f>
              <c:numCache>
                <c:formatCode>0.0%</c:formatCode>
                <c:ptCount val="5"/>
                <c:pt idx="0">
                  <c:v>0.89087803009578692</c:v>
                </c:pt>
                <c:pt idx="1">
                  <c:v>0.10912196990421263</c:v>
                </c:pt>
                <c:pt idx="2">
                  <c:v>0.27260617534438142</c:v>
                </c:pt>
                <c:pt idx="3">
                  <c:v>0.43384084990868121</c:v>
                </c:pt>
                <c:pt idx="4">
                  <c:v>0.70644702525306269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9-4F9B-8DE0-E91D41543FAD}"/>
            </c:ext>
          </c:extLst>
        </c:ser>
        <c:ser>
          <c:idx val="1"/>
          <c:order val="1"/>
          <c:tx>
            <c:strRef>
              <c:f>GRAFICO!$B$9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  <a:sp3d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GRAFICO!$C$7:$G$7</c:f>
              <c:strCache>
                <c:ptCount val="5"/>
                <c:pt idx="0">
                  <c:v>Tasa de Empleo</c:v>
                </c:pt>
                <c:pt idx="1">
                  <c:v>Tasa de desempleo</c:v>
                </c:pt>
                <c:pt idx="2">
                  <c:v>TSV</c:v>
                </c:pt>
                <c:pt idx="3">
                  <c:v>TSI</c:v>
                </c:pt>
                <c:pt idx="4">
                  <c:v>Tasa de Sub Empleo </c:v>
                </c:pt>
              </c:strCache>
            </c:strRef>
          </c:cat>
          <c:val>
            <c:numRef>
              <c:f>GRAFICO!$C$9:$G$9</c:f>
              <c:numCache>
                <c:formatCode>0.0%</c:formatCode>
                <c:ptCount val="5"/>
                <c:pt idx="0">
                  <c:v>0.91431141507709646</c:v>
                </c:pt>
                <c:pt idx="1">
                  <c:v>8.5688584922902628E-2</c:v>
                </c:pt>
                <c:pt idx="2">
                  <c:v>0.41244975937384298</c:v>
                </c:pt>
                <c:pt idx="3">
                  <c:v>0.26921631887356084</c:v>
                </c:pt>
                <c:pt idx="4">
                  <c:v>0.68166607824740377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9-4F9B-8DE0-E91D41543FAD}"/>
            </c:ext>
          </c:extLst>
        </c:ser>
        <c:ser>
          <c:idx val="2"/>
          <c:order val="2"/>
          <c:tx>
            <c:strRef>
              <c:f>GRAFICO!$B$10</c:f>
              <c:strCache>
                <c:ptCount val="1"/>
                <c:pt idx="0">
                  <c:v>2022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rgbClr val="00B050"/>
              </a:solidFill>
            </a:ln>
            <a:effectLst/>
            <a:sp3d>
              <a:contourClr>
                <a:srgbClr val="00B050"/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HN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GRAFICO!$C$7:$G$7</c:f>
              <c:strCache>
                <c:ptCount val="5"/>
                <c:pt idx="0">
                  <c:v>Tasa de Empleo</c:v>
                </c:pt>
                <c:pt idx="1">
                  <c:v>Tasa de desempleo</c:v>
                </c:pt>
                <c:pt idx="2">
                  <c:v>TSV</c:v>
                </c:pt>
                <c:pt idx="3">
                  <c:v>TSI</c:v>
                </c:pt>
                <c:pt idx="4">
                  <c:v>Tasa de Sub Empleo </c:v>
                </c:pt>
              </c:strCache>
            </c:strRef>
          </c:cat>
          <c:val>
            <c:numRef>
              <c:f>GRAFICO!$C$10:$G$10</c:f>
              <c:numCache>
                <c:formatCode>0.0%</c:formatCode>
                <c:ptCount val="5"/>
                <c:pt idx="0">
                  <c:v>0.91058871103081562</c:v>
                </c:pt>
                <c:pt idx="1">
                  <c:v>8.9411288969184377E-2</c:v>
                </c:pt>
                <c:pt idx="2">
                  <c:v>0.20892819110944449</c:v>
                </c:pt>
                <c:pt idx="3">
                  <c:v>0.36653599738351023</c:v>
                </c:pt>
                <c:pt idx="4">
                  <c:v>0.57546418849295478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9-4F9B-8DE0-E91D41543F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98003408"/>
        <c:axId val="397999664"/>
        <c:axId val="0"/>
      </c:bar3DChart>
      <c:catAx>
        <c:axId val="3980034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97999664"/>
        <c:crosses val="autoZero"/>
        <c:auto val="1"/>
        <c:lblAlgn val="ctr"/>
        <c:lblOffset val="100"/>
        <c:noMultiLvlLbl val="0"/>
      </c:catAx>
      <c:valAx>
        <c:axId val="3979996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s-HN"/>
          </a:p>
        </c:txPr>
        <c:crossAx val="398003408"/>
        <c:crosses val="autoZero"/>
        <c:crossBetween val="between"/>
      </c:valAx>
      <c:spPr>
        <a:noFill/>
        <a:ln>
          <a:noFill/>
        </a:ln>
        <a:effectLst>
          <a:outerShdw blurRad="50800" dist="50800" dir="5400000" algn="ctr" rotWithShape="0">
            <a:schemeClr val="accent6">
              <a:lumMod val="20000"/>
              <a:lumOff val="80000"/>
            </a:schemeClr>
          </a:outerShdw>
        </a:effectLst>
      </c:spPr>
    </c:plotArea>
    <c:legend>
      <c:legendPos val="b"/>
      <c:layout>
        <c:manualLayout>
          <c:xMode val="edge"/>
          <c:yMode val="edge"/>
          <c:x val="7.1071210416930486E-2"/>
          <c:y val="0.90129398873684474"/>
          <c:w val="0.78690400368486002"/>
          <c:h val="7.281604362561476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HN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innerShdw blurRad="114300">
        <a:schemeClr val="accent6">
          <a:lumMod val="60000"/>
          <a:lumOff val="40000"/>
        </a:schemeClr>
      </a:innerShdw>
    </a:effectLst>
  </c:spPr>
  <c:txPr>
    <a:bodyPr/>
    <a:lstStyle/>
    <a:p>
      <a:pPr>
        <a:defRPr/>
      </a:pPr>
      <a:endParaRPr lang="es-HN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hyperlink" Target="#'Grafico de Tasas'!A1"/><Relationship Id="rId4" Type="http://schemas.openxmlformats.org/officeDocument/2006/relationships/hyperlink" Target="#'Principales Indicadores ML'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PORTAD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hyperlink" Target="#PORTADA!A1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1</xdr:row>
      <xdr:rowOff>180975</xdr:rowOff>
    </xdr:from>
    <xdr:to>
      <xdr:col>8</xdr:col>
      <xdr:colOff>390525</xdr:colOff>
      <xdr:row>8</xdr:row>
      <xdr:rowOff>28575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075" y="371475"/>
          <a:ext cx="6267450" cy="1181100"/>
        </a:xfrm>
        <a:prstGeom prst="rect">
          <a:avLst/>
        </a:prstGeom>
        <a:ln>
          <a:noFill/>
        </a:ln>
        <a:effectLst>
          <a:reflection blurRad="12700" stA="30000" endPos="30000" dist="5000" dir="5400000" sy="-100000" algn="bl" rotWithShape="0"/>
        </a:effectLst>
        <a:scene3d>
          <a:camera prst="perspectiveContrastingLeftFacing">
            <a:rot lat="300000" lon="19800000" rev="0"/>
          </a:camera>
          <a:lightRig rig="threePt" dir="t">
            <a:rot lat="0" lon="0" rev="2700000"/>
          </a:lightRig>
        </a:scene3d>
        <a:sp3d>
          <a:bevelT w="63500" h="50800"/>
        </a:sp3d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447675</xdr:colOff>
      <xdr:row>15</xdr:row>
      <xdr:rowOff>180975</xdr:rowOff>
    </xdr:from>
    <xdr:to>
      <xdr:col>7</xdr:col>
      <xdr:colOff>70153</xdr:colOff>
      <xdr:row>21</xdr:row>
      <xdr:rowOff>190219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duotone>
            <a:schemeClr val="accent2">
              <a:shade val="45000"/>
              <a:satMod val="135000"/>
            </a:schemeClr>
            <a:prstClr val="white"/>
          </a:duotone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colorTemperature colorTemp="8800"/>
                  </a14:imgEffect>
                </a14:imgLayer>
              </a14:imgProps>
            </a:ext>
          </a:extLst>
        </a:blip>
        <a:stretch>
          <a:fillRect/>
        </a:stretch>
      </xdr:blipFill>
      <xdr:spPr>
        <a:xfrm>
          <a:off x="447675" y="3038475"/>
          <a:ext cx="4956478" cy="1152244"/>
        </a:xfrm>
        <a:prstGeom prst="snip2DiagRect">
          <a:avLst/>
        </a:prstGeom>
        <a:solidFill>
          <a:srgbClr val="00B050"/>
        </a:solidFill>
        <a:ln w="88900" cap="sq">
          <a:solidFill>
            <a:schemeClr val="accent4">
              <a:lumMod val="60000"/>
              <a:lumOff val="40000"/>
            </a:schemeClr>
          </a:solidFill>
          <a:miter lim="800000"/>
        </a:ln>
        <a:effectLst>
          <a:outerShdw blurRad="88900" algn="tl" rotWithShape="0">
            <a:srgbClr val="000000">
              <a:alpha val="45000"/>
            </a:srgbClr>
          </a:outerShdw>
        </a:effectLst>
        <a:scene3d>
          <a:camera prst="orthographicFront"/>
          <a:lightRig rig="twoPt" dir="t">
            <a:rot lat="0" lon="0" rev="7200000"/>
          </a:lightRig>
        </a:scene3d>
        <a:sp3d>
          <a:bevelT w="25400" h="19050"/>
          <a:contourClr>
            <a:srgbClr val="FFFFFF"/>
          </a:contourClr>
        </a:sp3d>
      </xdr:spPr>
    </xdr:pic>
    <xdr:clientData/>
  </xdr:twoCellAnchor>
  <xdr:oneCellAnchor>
    <xdr:from>
      <xdr:col>0</xdr:col>
      <xdr:colOff>238124</xdr:colOff>
      <xdr:row>9</xdr:row>
      <xdr:rowOff>9525</xdr:rowOff>
    </xdr:from>
    <xdr:ext cx="5295901" cy="1038225"/>
    <xdr:sp macro="" textlink="">
      <xdr:nvSpPr>
        <xdr:cNvPr id="6" name="Rectángulo 5"/>
        <xdr:cNvSpPr/>
      </xdr:nvSpPr>
      <xdr:spPr>
        <a:xfrm>
          <a:off x="1000124" y="1724025"/>
          <a:ext cx="5295901" cy="103822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es-E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Secretaria de Trabajo y Seguridad </a:t>
          </a:r>
        </a:p>
        <a:p>
          <a:pPr algn="ctr"/>
          <a:r>
            <a:rPr lang="es-ES" sz="2800" b="1" cap="none" spc="0">
              <a:ln w="13462">
                <a:solidFill>
                  <a:schemeClr val="bg1"/>
                </a:solidFill>
                <a:prstDash val="solid"/>
              </a:ln>
              <a:solidFill>
                <a:schemeClr val="tx1">
                  <a:lumMod val="85000"/>
                  <a:lumOff val="15000"/>
                </a:schemeClr>
              </a:solidFill>
              <a:effectLst>
                <a:outerShdw dist="38100" dir="2700000" algn="bl" rotWithShape="0">
                  <a:schemeClr val="accent5"/>
                </a:outerShdw>
              </a:effectLst>
            </a:rPr>
            <a:t>Social SETRASS</a:t>
          </a:r>
        </a:p>
      </xdr:txBody>
    </xdr:sp>
    <xdr:clientData/>
  </xdr:oneCellAnchor>
  <xdr:twoCellAnchor>
    <xdr:from>
      <xdr:col>0</xdr:col>
      <xdr:colOff>419100</xdr:colOff>
      <xdr:row>29</xdr:row>
      <xdr:rowOff>95250</xdr:rowOff>
    </xdr:from>
    <xdr:to>
      <xdr:col>3</xdr:col>
      <xdr:colOff>266702</xdr:colOff>
      <xdr:row>33</xdr:row>
      <xdr:rowOff>38100</xdr:rowOff>
    </xdr:to>
    <xdr:sp macro="" textlink="">
      <xdr:nvSpPr>
        <xdr:cNvPr id="7" name="CuadroTexto 6">
          <a:hlinkClick xmlns:r="http://schemas.openxmlformats.org/officeDocument/2006/relationships" r:id="rId4"/>
        </xdr:cNvPr>
        <xdr:cNvSpPr txBox="1"/>
      </xdr:nvSpPr>
      <xdr:spPr>
        <a:xfrm>
          <a:off x="419100" y="5619750"/>
          <a:ext cx="2133602" cy="704850"/>
        </a:xfrm>
        <a:prstGeom prst="rect">
          <a:avLst/>
        </a:prstGeom>
        <a:solidFill>
          <a:schemeClr val="accent2">
            <a:lumMod val="40000"/>
            <a:lumOff val="60000"/>
          </a:schemeClr>
        </a:solidFill>
        <a:ln w="28575"/>
      </xdr:spPr>
      <xdr:style>
        <a:lnRef idx="1">
          <a:schemeClr val="accent6"/>
        </a:lnRef>
        <a:fillRef idx="3">
          <a:schemeClr val="accent6"/>
        </a:fillRef>
        <a:effectRef idx="2">
          <a:schemeClr val="accent6"/>
        </a:effectRef>
        <a:fontRef idx="minor">
          <a:schemeClr val="lt1"/>
        </a:fontRef>
      </xdr:style>
      <xdr:txBody>
        <a:bodyPr vertOverflow="clip" horzOverflow="clip" wrap="square" rtlCol="0" anchor="t"/>
        <a:lstStyle/>
        <a:p>
          <a:pPr algn="ctr"/>
          <a:r>
            <a:rPr lang="es-HN" sz="12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Tabla Principales Indicadores del Mercado Laboral 2001-2022</a:t>
          </a:r>
        </a:p>
      </xdr:txBody>
    </xdr:sp>
    <xdr:clientData/>
  </xdr:twoCellAnchor>
  <xdr:oneCellAnchor>
    <xdr:from>
      <xdr:col>0</xdr:col>
      <xdr:colOff>733424</xdr:colOff>
      <xdr:row>22</xdr:row>
      <xdr:rowOff>150310</xdr:rowOff>
    </xdr:from>
    <xdr:ext cx="4572001" cy="1221289"/>
    <xdr:sp macro="" textlink="">
      <xdr:nvSpPr>
        <xdr:cNvPr id="9" name="Rectángulo 8"/>
        <xdr:cNvSpPr/>
      </xdr:nvSpPr>
      <xdr:spPr>
        <a:xfrm>
          <a:off x="733424" y="4341310"/>
          <a:ext cx="4572001" cy="1221289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1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HONDURAS:Principales</a:t>
          </a:r>
          <a:r>
            <a:rPr lang="es-ES" sz="18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Indicadores del Mercado Laboral 2001-2022 Empleo, Desempleo, Sub Empleo y sus respectivas tasas</a:t>
          </a:r>
          <a:endParaRPr lang="es-ES" sz="18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  <xdr:twoCellAnchor>
    <xdr:from>
      <xdr:col>3</xdr:col>
      <xdr:colOff>523875</xdr:colOff>
      <xdr:row>29</xdr:row>
      <xdr:rowOff>114300</xdr:rowOff>
    </xdr:from>
    <xdr:to>
      <xdr:col>6</xdr:col>
      <xdr:colOff>657225</xdr:colOff>
      <xdr:row>33</xdr:row>
      <xdr:rowOff>66675</xdr:rowOff>
    </xdr:to>
    <xdr:sp macro="" textlink="">
      <xdr:nvSpPr>
        <xdr:cNvPr id="4" name="CuadroTexto 3">
          <a:hlinkClick xmlns:r="http://schemas.openxmlformats.org/officeDocument/2006/relationships" r:id="rId5"/>
        </xdr:cNvPr>
        <xdr:cNvSpPr txBox="1"/>
      </xdr:nvSpPr>
      <xdr:spPr>
        <a:xfrm>
          <a:off x="2809875" y="5638800"/>
          <a:ext cx="2419350" cy="714375"/>
        </a:xfrm>
        <a:prstGeom prst="rect">
          <a:avLst/>
        </a:prstGeom>
        <a:solidFill>
          <a:schemeClr val="accent4">
            <a:lumMod val="60000"/>
            <a:lumOff val="40000"/>
          </a:schemeClr>
        </a:solidFill>
        <a:ln w="19050"/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HN" sz="1200" b="1">
              <a:solidFill>
                <a:sysClr val="windowText" lastClr="000000"/>
              </a:solidFill>
            </a:rPr>
            <a:t>GRAFICOS</a:t>
          </a:r>
          <a:r>
            <a:rPr lang="es-HN" sz="1200" b="1" baseline="0">
              <a:solidFill>
                <a:sysClr val="windowText" lastClr="000000"/>
              </a:solidFill>
            </a:rPr>
            <a:t> Tasas Indicadores del Mercado Laboral 2020,2021,2022</a:t>
          </a:r>
          <a:endParaRPr lang="es-HN" sz="1200" b="1">
            <a:solidFill>
              <a:sysClr val="windowText" lastClr="00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304800</xdr:colOff>
      <xdr:row>0</xdr:row>
      <xdr:rowOff>76201</xdr:rowOff>
    </xdr:from>
    <xdr:to>
      <xdr:col>1</xdr:col>
      <xdr:colOff>285750</xdr:colOff>
      <xdr:row>2</xdr:row>
      <xdr:rowOff>190501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304800" y="76201"/>
          <a:ext cx="742950" cy="495300"/>
        </a:xfrm>
        <a:prstGeom prst="leftArrow">
          <a:avLst/>
        </a:prstGeom>
        <a:ln w="1905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100" b="1">
              <a:solidFill>
                <a:schemeClr val="tx1"/>
              </a:solidFill>
            </a:rPr>
            <a:t>INICIO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14286</xdr:colOff>
      <xdr:row>4</xdr:row>
      <xdr:rowOff>390524</xdr:rowOff>
    </xdr:from>
    <xdr:to>
      <xdr:col>16</xdr:col>
      <xdr:colOff>361950</xdr:colOff>
      <xdr:row>18</xdr:row>
      <xdr:rowOff>47624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352425</xdr:colOff>
      <xdr:row>0</xdr:row>
      <xdr:rowOff>171450</xdr:rowOff>
    </xdr:from>
    <xdr:to>
      <xdr:col>1</xdr:col>
      <xdr:colOff>333375</xdr:colOff>
      <xdr:row>3</xdr:row>
      <xdr:rowOff>95250</xdr:rowOff>
    </xdr:to>
    <xdr:sp macro="" textlink="">
      <xdr:nvSpPr>
        <xdr:cNvPr id="9" name="Flecha izquierda 8">
          <a:hlinkClick xmlns:r="http://schemas.openxmlformats.org/officeDocument/2006/relationships" r:id="rId2"/>
        </xdr:cNvPr>
        <xdr:cNvSpPr/>
      </xdr:nvSpPr>
      <xdr:spPr>
        <a:xfrm>
          <a:off x="1114425" y="171450"/>
          <a:ext cx="742950" cy="495300"/>
        </a:xfrm>
        <a:prstGeom prst="leftArrow">
          <a:avLst/>
        </a:prstGeom>
        <a:ln w="19050"/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lang="es-HN" sz="1100" b="1">
              <a:solidFill>
                <a:schemeClr val="tx1"/>
              </a:solidFill>
            </a:rPr>
            <a:t>INICIO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982/7.%20Cuadros%20de%20Mercado%20Laboral%20201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58/07.%20Mercado%20Laboral%20G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641/09.%20Problemas%20de%20Empleo%2020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17/08.%20Mercado%20Laboral%20Genero_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85/11.%20Problemas%20de%20Empleo%202008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89/008.%20Mercado%20Laboral%20Genero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12/011.%20Problemas%20de%20Empleo%202009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07/Cuadros%20de%20Mercado%20Laboral%20por%20Genero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12/Cuadros%20de%20Problemas%20de%20Empleo%202010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87/9.%20Cuadros%20de%20Mercado%20Laboral%20por%20Genero%202011.xlsx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86/10.%20Cuadros%20de%20Problemas%20de%20Empleo%20201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26/01.%20Resumen%202001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67/6.%20Cuadros%20de%20Mercado%20Laboral%20por%20Genero%202012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10/9.%20Cuadros%20de%20Problemas%20de%20Empleo%202012.xlsx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82/9.%20Cuadros%20de%20Mercado%20Laboral%20por%20Genero%202013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25/10.%20Cuadros%20de%20Problemas%20de%20Empleo%202013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711/9.%20Cuadros%20de%20Mercado%20Laboral%20por%20Genero.xlsx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37/10.%20Cuadros%20de%20Problemas%20de%20Empleo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Documents/cruzes%20de%20varibles%202001%20al%202003.%20actividad(%20visible%20e%20invisible%20con%20sexo).xlsx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78/08.%20Subemple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58/06.%20Mercado%20Laboral%20genero%202005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17/08.%20Problemas%20de%20empleo%20200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034/04.%20Mercado%20Laboral%202001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13/08.%20Problemas%20de%20Empleo%202006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021/09.%20Problemas%20de%20Empleo%202007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320/11.%20Problemas%20de%20Empleo%202008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25/011.%20Problemas%20de%20Empleo%202009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27/Cuadros%20de%20Problemas%20de%20Empleo%202010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934/10.%20Cuadros%20de%20Problemas%20de%20Empleo%202011.xlsx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01/9.%20Cuadros%20de%20Problemas%20de%20Empleo%202012.xlsx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15/10.%20Cuadros%20de%20Problemas%20de%20Empleo%202013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16/10.%20Cuadros%20de%20Problemas%20de%20Empleo.xlsx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523/10.%20Cuadros%20de%20Problemas%20de%20Empleo%202015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20/05.%20Mercado%20Laboral%202002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260/05.%20Mercado%20Laboral%20200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462/06.%20Mercado%20Laboral%20genero%202005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167/08.%20Problemas%20de%20empleo%202005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49/06.%20Mercado%20Laboral%20Gene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gomez/AppData/Local/Temp/Rar$DIa0.838/08.%20Problemas%20de%20Empleo%202006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7">
          <cell r="E7">
            <v>6496542.2253903775</v>
          </cell>
          <cell r="H7">
            <v>3369918.702429974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</sheetNames>
    <sheetDataSet>
      <sheetData sheetId="0" refreshError="1"/>
      <sheetData sheetId="1" refreshError="1">
        <row r="9">
          <cell r="E9">
            <v>2693130.4883833095</v>
          </cell>
          <cell r="K9">
            <v>1831926.683542643</v>
          </cell>
          <cell r="N9">
            <v>47165.27527061088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E9">
            <v>2987867.7797504766</v>
          </cell>
          <cell r="H9">
            <v>981774.15220515046</v>
          </cell>
          <cell r="K9">
            <v>941564.89548759675</v>
          </cell>
          <cell r="N9">
            <v>40209.256717543183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>
        <row r="7">
          <cell r="I7">
            <v>61131.287762703985</v>
          </cell>
          <cell r="L7">
            <v>233951.21600995609</v>
          </cell>
        </row>
      </sheetData>
      <sheetData sheetId="4" refreshError="1"/>
      <sheetData sheetId="5" refreshError="1">
        <row r="7">
          <cell r="F7">
            <v>81386.825808044348</v>
          </cell>
          <cell r="I7">
            <v>687184.8675890743</v>
          </cell>
        </row>
      </sheetData>
      <sheetData sheetId="6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9">
          <cell r="E9">
            <v>2801892.8683210686</v>
          </cell>
          <cell r="H9">
            <v>1925970.4672465366</v>
          </cell>
          <cell r="K9">
            <v>1869760.933174005</v>
          </cell>
          <cell r="N9">
            <v>56209.534072588183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E9">
            <v>3100307.0611868585</v>
          </cell>
          <cell r="H9">
            <v>1064563.4183224367</v>
          </cell>
          <cell r="K9">
            <v>1031315.0840625807</v>
          </cell>
          <cell r="N9">
            <v>33248.334259873933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>
        <row r="7">
          <cell r="I7">
            <v>55649.431239929814</v>
          </cell>
          <cell r="L7">
            <v>220110.52300083821</v>
          </cell>
        </row>
      </sheetData>
      <sheetData sheetId="4" refreshError="1"/>
      <sheetData sheetId="5" refreshError="1">
        <row r="7">
          <cell r="F7">
            <v>54147.909806211981</v>
          </cell>
          <cell r="I7">
            <v>616628.58809671469</v>
          </cell>
        </row>
      </sheetData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-2021"/>
      <sheetName val="Portada"/>
      <sheetName val="C01"/>
      <sheetName val="C02"/>
      <sheetName val="C03"/>
      <sheetName val="C04"/>
      <sheetName val="C05"/>
      <sheetName val="C06"/>
      <sheetName val="C07"/>
    </sheetNames>
    <sheetDataSet>
      <sheetData sheetId="0">
        <row r="9">
          <cell r="E9">
            <v>132321.45650500615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7">
          <cell r="I7">
            <v>69598.90364050628</v>
          </cell>
          <cell r="L7">
            <v>838578.66813221364</v>
          </cell>
        </row>
      </sheetData>
      <sheetData sheetId="3" refreshError="1">
        <row r="7">
          <cell r="I7">
            <v>64493.573284772239</v>
          </cell>
          <cell r="L7">
            <v>289357.20038616471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9">
          <cell r="E9">
            <v>3049482.9937090501</v>
          </cell>
          <cell r="H9">
            <v>2166173.768269734</v>
          </cell>
          <cell r="K9">
            <v>2096518.8710822398</v>
          </cell>
          <cell r="N9">
            <v>69654.897187522743</v>
          </cell>
        </row>
      </sheetData>
      <sheetData sheetId="2" refreshError="1"/>
      <sheetData sheetId="3" refreshError="1"/>
      <sheetData sheetId="4" refreshError="1"/>
      <sheetData sheetId="5" refreshError="1">
        <row r="9">
          <cell r="E9">
            <v>3267332.9358853973</v>
          </cell>
          <cell r="H9">
            <v>1221543.3916684969</v>
          </cell>
          <cell r="K9">
            <v>1157461.4720015551</v>
          </cell>
          <cell r="N9">
            <v>64081.919666964815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6">
          <cell r="I6">
            <v>146407.63736627868</v>
          </cell>
          <cell r="L6">
            <v>778279.94510197476</v>
          </cell>
        </row>
      </sheetData>
      <sheetData sheetId="3" refreshError="1">
        <row r="6">
          <cell r="I6">
            <v>103101.35102332429</v>
          </cell>
          <cell r="L6">
            <v>283422.43619499198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3101918.386952363</v>
          </cell>
          <cell r="N8">
            <v>71466.140589472954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3394623.8384337542</v>
          </cell>
          <cell r="H8">
            <v>1186107.4168749917</v>
          </cell>
          <cell r="K8">
            <v>1113790.1647299146</v>
          </cell>
          <cell r="N8">
            <v>72317.252145103063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6">
          <cell r="I6">
            <v>173722.45028556307</v>
          </cell>
          <cell r="L6">
            <v>849853.81013837957</v>
          </cell>
        </row>
      </sheetData>
      <sheetData sheetId="3" refreshError="1">
        <row r="6">
          <cell r="I6">
            <v>160246.70971535399</v>
          </cell>
          <cell r="L6">
            <v>321120.99553573749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</sheetNames>
    <sheetDataSet>
      <sheetData sheetId="0" refreshError="1"/>
      <sheetData sheetId="1" refreshError="1">
        <row r="16">
          <cell r="B16">
            <v>2191144.5149000096</v>
          </cell>
        </row>
        <row r="17">
          <cell r="B17">
            <v>2399578.4661200065</v>
          </cell>
        </row>
        <row r="36">
          <cell r="B36">
            <v>1567967.5858300249</v>
          </cell>
        </row>
        <row r="37">
          <cell r="B37">
            <v>870029.2140000019</v>
          </cell>
        </row>
      </sheetData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3175964.973526625</v>
          </cell>
          <cell r="H8">
            <v>2196467.0924211736</v>
          </cell>
          <cell r="K8">
            <v>2133713.3382679261</v>
          </cell>
          <cell r="N8">
            <v>62753.754153283604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3451590.5944840522</v>
          </cell>
          <cell r="H8">
            <v>1168220.7702124687</v>
          </cell>
          <cell r="K8">
            <v>1110163.3887759373</v>
          </cell>
          <cell r="N8">
            <v>58057.381436516538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>
        <row r="6">
          <cell r="I6">
            <v>159597.66094285148</v>
          </cell>
          <cell r="L6">
            <v>386717.53397195484</v>
          </cell>
        </row>
      </sheetData>
      <sheetData sheetId="4" refreshError="1"/>
      <sheetData sheetId="5" refreshError="1">
        <row r="6">
          <cell r="F6">
            <v>180115.78608403017</v>
          </cell>
          <cell r="I6">
            <v>1027337.8987438807</v>
          </cell>
        </row>
      </sheetData>
      <sheetData sheetId="6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3192875.4644763572</v>
          </cell>
          <cell r="H8">
            <v>2303155.4909033966</v>
          </cell>
          <cell r="K8">
            <v>2227000.1327829161</v>
          </cell>
          <cell r="N8">
            <v>76155.358120474077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3568072.6425327845</v>
          </cell>
          <cell r="H8">
            <v>1325577.2116350094</v>
          </cell>
          <cell r="K8">
            <v>1260008.6912590454</v>
          </cell>
          <cell r="N8">
            <v>65568.520375958586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239940.00257951379</v>
          </cell>
          <cell r="I6">
            <v>978406.71211838361</v>
          </cell>
        </row>
      </sheetData>
      <sheetData sheetId="6" refreshError="1">
        <row r="6">
          <cell r="F6">
            <v>168935.47297826011</v>
          </cell>
          <cell r="I6">
            <v>443803.04946267273</v>
          </cell>
        </row>
      </sheetData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  <sheetName val="C07"/>
      <sheetName val="C08"/>
    </sheetNames>
    <sheetDataSet>
      <sheetData sheetId="0" refreshError="1"/>
      <sheetData sheetId="1" refreshError="1">
        <row r="8">
          <cell r="E8">
            <v>3059715.122057057</v>
          </cell>
          <cell r="H8">
            <v>2251283.1810982185</v>
          </cell>
          <cell r="K8">
            <v>2151008.0174051463</v>
          </cell>
          <cell r="N8">
            <v>100275.16369308505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3461776.1267185626</v>
          </cell>
          <cell r="H8">
            <v>1403815.5828779605</v>
          </cell>
          <cell r="K8">
            <v>1309902.6295939824</v>
          </cell>
          <cell r="N8">
            <v>93912.953283969007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>
        <row r="6">
          <cell r="F6">
            <v>240361.63681556075</v>
          </cell>
          <cell r="I6">
            <v>661341.22848433768</v>
          </cell>
        </row>
      </sheetData>
      <sheetData sheetId="6" refreshError="1">
        <row r="6">
          <cell r="F6">
            <v>191058.39462952307</v>
          </cell>
          <cell r="I6">
            <v>296833.04532161303</v>
          </cell>
        </row>
      </sheetData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-2021"/>
      <sheetName val="Hoja1"/>
      <sheetName val="Hoja2"/>
    </sheetNames>
    <sheetDataSet>
      <sheetData sheetId="0">
        <row r="20">
          <cell r="C20">
            <v>3944835.5112500573</v>
          </cell>
          <cell r="D20">
            <v>3653787.0229581357</v>
          </cell>
        </row>
      </sheetData>
      <sheetData sheetId="1" refreshError="1"/>
      <sheetData sheetId="2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1a"/>
      <sheetName val="Cuadro01b"/>
      <sheetName val="Cuadro02"/>
      <sheetName val="Cuadro02a"/>
      <sheetName val="Cuadro02b"/>
    </sheetNames>
    <sheetDataSet>
      <sheetData sheetId="0" refreshError="1"/>
      <sheetData sheetId="1" refreshError="1"/>
      <sheetData sheetId="2" refreshError="1">
        <row r="9">
          <cell r="I9">
            <v>634149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</sheetNames>
    <sheetDataSet>
      <sheetData sheetId="0" refreshError="1"/>
      <sheetData sheetId="1" refreshError="1">
        <row r="9">
          <cell r="E9">
            <v>2518595.8870529206</v>
          </cell>
          <cell r="H9">
            <v>1769566.8133667649</v>
          </cell>
          <cell r="K9">
            <v>1700174.5513961879</v>
          </cell>
          <cell r="N9">
            <v>69392.261970606327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>
        <row r="6">
          <cell r="O6">
            <v>757806.05164112686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  <sheetName val="Cuadro09"/>
      <sheetName val="Cuadro10"/>
    </sheetNames>
    <sheetDataSet>
      <sheetData sheetId="0" refreshError="1"/>
      <sheetData sheetId="1" refreshError="1"/>
      <sheetData sheetId="2" refreshError="1">
        <row r="37">
          <cell r="K37">
            <v>1505933.1326500154</v>
          </cell>
          <cell r="N37">
            <v>62034.45317999996</v>
          </cell>
        </row>
        <row r="38">
          <cell r="K38">
            <v>828662.49731000222</v>
          </cell>
          <cell r="N38">
            <v>41366.716689999979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>
        <row r="10">
          <cell r="O10">
            <v>676241.7454196969</v>
          </cell>
        </row>
      </sheetData>
      <sheetData sheetId="4" refreshError="1"/>
      <sheetData sheetId="5" refreshError="1"/>
      <sheetData sheetId="6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>
        <row r="7">
          <cell r="O7">
            <v>768571.69339711871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9">
          <cell r="O9">
            <v>670776.49790292664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9">
          <cell r="I9">
            <v>908177.57177271997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32">
          <cell r="I32">
            <v>924687.58246825344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6">
          <cell r="D6">
            <v>2112345.1449659583</v>
          </cell>
        </row>
        <row r="8">
          <cell r="I8">
            <v>1023576.2604239427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I8">
            <v>1207453.6848279107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L8">
            <v>1218346.7146978974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I8">
            <v>901702.86529989843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01"/>
      <sheetName val="C02"/>
      <sheetName val="C03"/>
      <sheetName val="C04"/>
      <sheetName val="C05"/>
      <sheetName val="C06"/>
    </sheetNames>
    <sheetDataSet>
      <sheetData sheetId="0" refreshError="1"/>
      <sheetData sheetId="1" refreshError="1"/>
      <sheetData sheetId="2" refreshError="1">
        <row r="8">
          <cell r="I8">
            <v>1279798.069916659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  <sheetName val="Cuadro09"/>
      <sheetName val="Cuadro10"/>
    </sheetNames>
    <sheetDataSet>
      <sheetData sheetId="0" refreshError="1"/>
      <sheetData sheetId="1" refreshError="1"/>
      <sheetData sheetId="2" refreshError="1">
        <row r="37">
          <cell r="E37">
            <v>2300045.9700000002</v>
          </cell>
          <cell r="H37">
            <v>1684685.1</v>
          </cell>
          <cell r="K37">
            <v>1625848.1</v>
          </cell>
          <cell r="N37">
            <v>58837</v>
          </cell>
        </row>
        <row r="38">
          <cell r="E38">
            <v>2458195.77</v>
          </cell>
          <cell r="H38">
            <v>813174.89</v>
          </cell>
          <cell r="K38">
            <v>770785.61</v>
          </cell>
          <cell r="N38">
            <v>42389.27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  <sheetName val="Cuadro09"/>
      <sheetName val="Cuadro10"/>
    </sheetNames>
    <sheetDataSet>
      <sheetData sheetId="0" refreshError="1"/>
      <sheetData sheetId="1" refreshError="1"/>
      <sheetData sheetId="2" refreshError="1">
        <row r="37">
          <cell r="E37">
            <v>2344977.11</v>
          </cell>
          <cell r="H37">
            <v>1558257.19</v>
          </cell>
          <cell r="K37">
            <v>1480183.6</v>
          </cell>
          <cell r="N37">
            <v>78073.59</v>
          </cell>
        </row>
        <row r="38">
          <cell r="E38">
            <v>2547540.52</v>
          </cell>
          <cell r="H38">
            <v>822556.85</v>
          </cell>
          <cell r="K38">
            <v>772506.76</v>
          </cell>
          <cell r="N38">
            <v>50050.09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1-2021"/>
      <sheetName val="Portada"/>
      <sheetName val="Cuadro01"/>
      <sheetName val="Cuadro02"/>
      <sheetName val="Cuadro03"/>
      <sheetName val="Cuadro04"/>
      <sheetName val="Cuadro05"/>
      <sheetName val="Cuadro06"/>
      <sheetName val="Cuadro07"/>
    </sheetNames>
    <sheetDataSet>
      <sheetData sheetId="0">
        <row r="9">
          <cell r="E9">
            <v>132321.45650500615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>
            <v>135325.93545091333</v>
          </cell>
          <cell r="I7">
            <v>622480.11619021348</v>
          </cell>
        </row>
      </sheetData>
      <sheetData sheetId="5" refreshError="1"/>
      <sheetData sheetId="6" refreshError="1">
        <row r="7">
          <cell r="F7">
            <v>104926.83927622285</v>
          </cell>
          <cell r="I7">
            <v>222944.02911860403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  <sheetName val="Cuadro07"/>
      <sheetName val="Cuadro08"/>
    </sheetNames>
    <sheetDataSet>
      <sheetData sheetId="0" refreshError="1"/>
      <sheetData sheetId="1" refreshError="1">
        <row r="9">
          <cell r="E9">
            <v>2608547.1337098004</v>
          </cell>
          <cell r="H9">
            <v>1825814.8504535567</v>
          </cell>
          <cell r="K9">
            <v>1771106.5364684577</v>
          </cell>
          <cell r="N9">
            <v>54708.313985102744</v>
          </cell>
        </row>
      </sheetData>
      <sheetData sheetId="2" refreshError="1"/>
      <sheetData sheetId="3" refreshError="1"/>
      <sheetData sheetId="4" refreshError="1"/>
      <sheetData sheetId="5" refreshError="1">
        <row r="8">
          <cell r="E8">
            <v>2899149.4933301192</v>
          </cell>
          <cell r="H8">
            <v>966445.83571539249</v>
          </cell>
          <cell r="K8">
            <v>924739.98408829793</v>
          </cell>
          <cell r="N8">
            <v>41705.851627114702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Cuadro01"/>
      <sheetName val="Cuadro02"/>
      <sheetName val="Cuadro03"/>
      <sheetName val="Cuadro04"/>
      <sheetName val="Cuadro05"/>
      <sheetName val="Cuadro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7">
          <cell r="F7">
            <v>74110.567178123165</v>
          </cell>
          <cell r="I7">
            <v>602131.17824157374</v>
          </cell>
        </row>
      </sheetData>
      <sheetData sheetId="5" refreshError="1"/>
      <sheetData sheetId="6" refreshError="1">
        <row r="7">
          <cell r="F7">
            <v>61734.452507914655</v>
          </cell>
          <cell r="I7">
            <v>197138.62204587524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workbookViewId="0">
      <selection activeCell="K16" sqref="K16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85"/>
  <sheetViews>
    <sheetView showGridLines="0" zoomScaleNormal="100" workbookViewId="0"/>
  </sheetViews>
  <sheetFormatPr baseColWidth="10" defaultRowHeight="15" x14ac:dyDescent="0.25"/>
  <cols>
    <col min="13" max="13" width="12.42578125" customWidth="1"/>
  </cols>
  <sheetData>
    <row r="3" spans="1:14" ht="18" x14ac:dyDescent="0.25">
      <c r="A3" s="68" t="s">
        <v>21</v>
      </c>
      <c r="B3" s="68"/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</row>
    <row r="4" spans="1:14" ht="18" x14ac:dyDescent="0.25">
      <c r="A4" s="67" t="s">
        <v>16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4" ht="12" customHeight="1" thickBot="1" x14ac:dyDescent="0.4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9"/>
    </row>
    <row r="6" spans="1:14" ht="45" x14ac:dyDescent="0.25">
      <c r="A6" s="40" t="s">
        <v>0</v>
      </c>
      <c r="B6" s="41" t="s">
        <v>1</v>
      </c>
      <c r="C6" s="41" t="s">
        <v>2</v>
      </c>
      <c r="D6" s="42" t="s">
        <v>3</v>
      </c>
      <c r="E6" s="41" t="s">
        <v>4</v>
      </c>
      <c r="F6" s="42" t="s">
        <v>5</v>
      </c>
      <c r="G6" s="42" t="s">
        <v>6</v>
      </c>
      <c r="H6" s="42" t="s">
        <v>7</v>
      </c>
      <c r="I6" s="41" t="s">
        <v>8</v>
      </c>
      <c r="J6" s="42" t="s">
        <v>9</v>
      </c>
      <c r="K6" s="42" t="s">
        <v>10</v>
      </c>
      <c r="L6" s="42" t="s">
        <v>11</v>
      </c>
      <c r="M6" s="42" t="s">
        <v>12</v>
      </c>
      <c r="N6" s="43" t="s">
        <v>13</v>
      </c>
    </row>
    <row r="7" spans="1:14" x14ac:dyDescent="0.25">
      <c r="A7" s="18">
        <v>2001</v>
      </c>
      <c r="B7" s="30">
        <v>4590722.9810197838</v>
      </c>
      <c r="C7" s="30">
        <v>2437996.7998299934</v>
      </c>
      <c r="D7" s="30">
        <v>2334595.629960014</v>
      </c>
      <c r="E7" s="30">
        <v>103401.16987000006</v>
      </c>
      <c r="F7" s="31">
        <f>D7-E7-I7</f>
        <v>1588503.4600900142</v>
      </c>
      <c r="G7" s="44">
        <f t="shared" ref="G7:G26" si="0">D7/C7</f>
        <v>0.95758765151898895</v>
      </c>
      <c r="H7" s="44">
        <f t="shared" ref="H7:H22" si="1">E7/C7</f>
        <v>4.2412348481019511E-2</v>
      </c>
      <c r="I7" s="11">
        <f>SUM(J7,L7)</f>
        <v>642691</v>
      </c>
      <c r="J7" s="11">
        <v>80184</v>
      </c>
      <c r="K7" s="45">
        <f>J7/D7</f>
        <v>3.4345990787866487E-2</v>
      </c>
      <c r="L7" s="11">
        <v>562507</v>
      </c>
      <c r="M7" s="46">
        <f>L7/D7</f>
        <v>0.24094408161366873</v>
      </c>
      <c r="N7" s="12">
        <f>I7/D7</f>
        <v>0.27529007240153525</v>
      </c>
    </row>
    <row r="8" spans="1:14" x14ac:dyDescent="0.25">
      <c r="A8" s="18">
        <v>2002</v>
      </c>
      <c r="B8" s="30">
        <v>4758241.74</v>
      </c>
      <c r="C8" s="30">
        <v>2497859.9900000002</v>
      </c>
      <c r="D8" s="30">
        <v>2396633.7200000002</v>
      </c>
      <c r="E8" s="30">
        <v>101226.27</v>
      </c>
      <c r="F8" s="32">
        <f>D8-E8-I8</f>
        <v>1457874.4500000002</v>
      </c>
      <c r="G8" s="13">
        <f t="shared" si="0"/>
        <v>0.95947480226864112</v>
      </c>
      <c r="H8" s="13">
        <f t="shared" si="1"/>
        <v>4.0525197731358834E-2</v>
      </c>
      <c r="I8" s="11">
        <f>SUM(J8,L8)</f>
        <v>837533</v>
      </c>
      <c r="J8" s="11">
        <v>100694</v>
      </c>
      <c r="K8" s="45">
        <f>J8/D8</f>
        <v>4.2014763941483721E-2</v>
      </c>
      <c r="L8" s="11">
        <v>736839</v>
      </c>
      <c r="M8" s="46">
        <f>L8/D8</f>
        <v>0.30744748096092045</v>
      </c>
      <c r="N8" s="12">
        <f>I8/D8</f>
        <v>0.34946224490240418</v>
      </c>
    </row>
    <row r="9" spans="1:14" x14ac:dyDescent="0.25">
      <c r="A9" s="18">
        <v>2003</v>
      </c>
      <c r="B9" s="30">
        <v>4892517.63</v>
      </c>
      <c r="C9" s="30">
        <v>2380814.04</v>
      </c>
      <c r="D9" s="30">
        <v>2252690.36</v>
      </c>
      <c r="E9" s="30">
        <v>128123.68</v>
      </c>
      <c r="F9" s="32">
        <f>D9-E9-I9</f>
        <v>1335293.6799999997</v>
      </c>
      <c r="G9" s="13">
        <f t="shared" si="0"/>
        <v>0.94618492757208361</v>
      </c>
      <c r="H9" s="13">
        <f t="shared" si="1"/>
        <v>5.3815072427916291E-2</v>
      </c>
      <c r="I9" s="11">
        <f>SUM(J9,L9)</f>
        <v>789273</v>
      </c>
      <c r="J9" s="11">
        <v>126552</v>
      </c>
      <c r="K9" s="45">
        <f>J9/D9</f>
        <v>5.6178160233259937E-2</v>
      </c>
      <c r="L9" s="11">
        <v>662721</v>
      </c>
      <c r="M9" s="46">
        <f>L9/D9</f>
        <v>0.29419089803358506</v>
      </c>
      <c r="N9" s="12">
        <f>I9/D9</f>
        <v>0.350369058266845</v>
      </c>
    </row>
    <row r="10" spans="1:14" x14ac:dyDescent="0.25">
      <c r="A10" s="18">
        <v>2004</v>
      </c>
      <c r="B10" s="30">
        <v>5126456.34</v>
      </c>
      <c r="C10" s="30">
        <v>2592185.5499999998</v>
      </c>
      <c r="D10" s="30">
        <v>2438954.92</v>
      </c>
      <c r="E10" s="30">
        <v>153230.63</v>
      </c>
      <c r="F10" s="32">
        <f>D10-E10-I10</f>
        <v>1396325.29</v>
      </c>
      <c r="G10" s="13">
        <f t="shared" si="0"/>
        <v>0.9408874762070949</v>
      </c>
      <c r="H10" s="13">
        <f t="shared" si="1"/>
        <v>5.9112523792905186E-2</v>
      </c>
      <c r="I10" s="11">
        <f>SUM(J10,L10)</f>
        <v>889399</v>
      </c>
      <c r="J10" s="11">
        <v>169147</v>
      </c>
      <c r="K10" s="14">
        <f t="shared" ref="K10:K26" si="2">J10/D10</f>
        <v>6.9352245346133753E-2</v>
      </c>
      <c r="L10" s="11">
        <v>720252</v>
      </c>
      <c r="M10" s="46">
        <f t="shared" ref="M10:M20" si="3">L10/D10</f>
        <v>0.2953117313049804</v>
      </c>
      <c r="N10" s="12">
        <f t="shared" ref="N10:N20" si="4">I10/D10</f>
        <v>0.36466397665111416</v>
      </c>
    </row>
    <row r="11" spans="1:14" x14ac:dyDescent="0.25">
      <c r="A11" s="18">
        <v>2005</v>
      </c>
      <c r="B11" s="33">
        <v>5310687.3868160695</v>
      </c>
      <c r="C11" s="30">
        <v>2759409.3280098704</v>
      </c>
      <c r="D11" s="30">
        <v>2627087.8715048563</v>
      </c>
      <c r="E11" s="30">
        <v>132321.45650500615</v>
      </c>
      <c r="F11" s="34">
        <f>D11-E11-I11</f>
        <v>1409089.4949638597</v>
      </c>
      <c r="G11" s="13">
        <f t="shared" si="0"/>
        <v>0.95204718083618045</v>
      </c>
      <c r="H11" s="13">
        <f t="shared" si="1"/>
        <v>4.7952819163816655E-2</v>
      </c>
      <c r="I11" s="11">
        <f t="shared" ref="I11:I26" si="5">SUM(J11,L11)</f>
        <v>1085676.9200359904</v>
      </c>
      <c r="J11" s="30">
        <v>240252.77472713377</v>
      </c>
      <c r="K11" s="45">
        <f t="shared" si="2"/>
        <v>9.1452127404292524E-2</v>
      </c>
      <c r="L11" s="30">
        <v>845424.14530885674</v>
      </c>
      <c r="M11" s="46">
        <f t="shared" si="3"/>
        <v>0.32181037965227194</v>
      </c>
      <c r="N11" s="12">
        <f t="shared" si="4"/>
        <v>0.41326250705656442</v>
      </c>
    </row>
    <row r="12" spans="1:14" x14ac:dyDescent="0.25">
      <c r="A12" s="18">
        <v>2006</v>
      </c>
      <c r="B12" s="33">
        <v>5507696.6270412747</v>
      </c>
      <c r="C12" s="30">
        <v>2792260.6861694725</v>
      </c>
      <c r="D12" s="30">
        <v>2695846.5205571558</v>
      </c>
      <c r="E12" s="30">
        <v>96414.165612215729</v>
      </c>
      <c r="F12" s="34">
        <f>D12-E12-J12-L12</f>
        <v>1664317.5349715115</v>
      </c>
      <c r="G12" s="13">
        <f>D12/C12</f>
        <v>0.96547092967004411</v>
      </c>
      <c r="H12" s="13">
        <f t="shared" si="1"/>
        <v>3.452907032991976E-2</v>
      </c>
      <c r="I12" s="11">
        <f t="shared" si="5"/>
        <v>935114.81997342897</v>
      </c>
      <c r="J12" s="30">
        <v>135845.01968603407</v>
      </c>
      <c r="K12" s="45">
        <f t="shared" si="2"/>
        <v>5.0390487236624551E-2</v>
      </c>
      <c r="L12" s="30">
        <v>799269.8002873949</v>
      </c>
      <c r="M12" s="46">
        <f t="shared" si="3"/>
        <v>0.2964819377485215</v>
      </c>
      <c r="N12" s="15">
        <f t="shared" si="4"/>
        <v>0.34687242498514603</v>
      </c>
    </row>
    <row r="13" spans="1:14" x14ac:dyDescent="0.25">
      <c r="A13" s="18">
        <v>2007</v>
      </c>
      <c r="B13" s="33">
        <v>5680998.2681228016</v>
      </c>
      <c r="C13" s="33">
        <v>2860866.1110187862</v>
      </c>
      <c r="D13" s="33">
        <v>2773491.5790306483</v>
      </c>
      <c r="E13" s="33">
        <v>87374.531988154631</v>
      </c>
      <c r="F13" s="32">
        <f>D13-E13-J13-L13</f>
        <v>1622462.8498726371</v>
      </c>
      <c r="G13" s="13">
        <f t="shared" si="0"/>
        <v>0.96945871334152622</v>
      </c>
      <c r="H13" s="13">
        <f t="shared" si="1"/>
        <v>3.0541286658479654E-2</v>
      </c>
      <c r="I13" s="11">
        <f>SUM(J13,L13)</f>
        <v>1063654.1971698566</v>
      </c>
      <c r="J13" s="30">
        <v>142518.11357075014</v>
      </c>
      <c r="K13" s="45">
        <f t="shared" si="2"/>
        <v>5.1385810812723309E-2</v>
      </c>
      <c r="L13" s="30">
        <v>921136.08359910641</v>
      </c>
      <c r="M13" s="46">
        <f t="shared" si="3"/>
        <v>0.33212146399270803</v>
      </c>
      <c r="N13" s="15">
        <f t="shared" si="4"/>
        <v>0.3835072748054314</v>
      </c>
    </row>
    <row r="14" spans="1:14" x14ac:dyDescent="0.25">
      <c r="A14" s="18">
        <v>2008</v>
      </c>
      <c r="B14" s="33">
        <v>5902199.9295077119</v>
      </c>
      <c r="C14" s="33">
        <v>2990533.885568358</v>
      </c>
      <c r="D14" s="33">
        <v>2901076.0172359776</v>
      </c>
      <c r="E14" s="33">
        <v>89457.868332461687</v>
      </c>
      <c r="F14" s="32">
        <f t="shared" ref="F14:F20" si="6">D14-E14-I14</f>
        <v>1865081.6967598153</v>
      </c>
      <c r="G14" s="13">
        <f t="shared" si="0"/>
        <v>0.97008632178886722</v>
      </c>
      <c r="H14" s="13">
        <f t="shared" si="1"/>
        <v>2.9913678211159946E-2</v>
      </c>
      <c r="I14" s="11">
        <f t="shared" si="5"/>
        <v>946536.45214370091</v>
      </c>
      <c r="J14" s="30">
        <v>109797.34104613759</v>
      </c>
      <c r="K14" s="45">
        <f t="shared" si="2"/>
        <v>3.7847109277318366E-2</v>
      </c>
      <c r="L14" s="30">
        <v>836739.11109756329</v>
      </c>
      <c r="M14" s="46">
        <f t="shared" si="3"/>
        <v>0.28842371110798154</v>
      </c>
      <c r="N14" s="15">
        <f t="shared" si="4"/>
        <v>0.32627082038529992</v>
      </c>
    </row>
    <row r="15" spans="1:14" x14ac:dyDescent="0.25">
      <c r="A15" s="18">
        <v>2009</v>
      </c>
      <c r="B15" s="33">
        <v>6090408.382184606</v>
      </c>
      <c r="C15" s="33">
        <v>3236859.5980369803</v>
      </c>
      <c r="D15" s="33">
        <v>3135563.6442784322</v>
      </c>
      <c r="E15" s="33">
        <v>101295.95375849667</v>
      </c>
      <c r="F15" s="32">
        <f t="shared" si="6"/>
        <v>1772239.3450763058</v>
      </c>
      <c r="G15" s="13">
        <f t="shared" si="0"/>
        <v>0.96870548422304759</v>
      </c>
      <c r="H15" s="13">
        <f t="shared" si="1"/>
        <v>3.1294515776936517E-2</v>
      </c>
      <c r="I15" s="11">
        <f t="shared" si="5"/>
        <v>1262028.3454436297</v>
      </c>
      <c r="J15" s="30">
        <v>134092.47692528326</v>
      </c>
      <c r="K15" s="45">
        <f t="shared" si="2"/>
        <v>4.2765031151565457E-2</v>
      </c>
      <c r="L15" s="30">
        <v>1127935.8685183465</v>
      </c>
      <c r="M15" s="46">
        <f t="shared" si="3"/>
        <v>0.35972348084100564</v>
      </c>
      <c r="N15" s="15">
        <f t="shared" si="4"/>
        <v>0.40248851199257107</v>
      </c>
    </row>
    <row r="16" spans="1:14" x14ac:dyDescent="0.25">
      <c r="A16" s="18">
        <v>2010</v>
      </c>
      <c r="B16" s="33">
        <v>6316815.9295979282</v>
      </c>
      <c r="C16" s="33">
        <v>3387717.1599382171</v>
      </c>
      <c r="D16" s="33">
        <v>3253980.3430837546</v>
      </c>
      <c r="E16" s="33">
        <v>133736.81685448883</v>
      </c>
      <c r="F16" s="32">
        <f t="shared" si="6"/>
        <v>1809032.1565426448</v>
      </c>
      <c r="G16" s="13">
        <f t="shared" si="0"/>
        <v>0.96052302759038433</v>
      </c>
      <c r="H16" s="13">
        <f t="shared" si="1"/>
        <v>3.9476972409623425E-2</v>
      </c>
      <c r="I16" s="11">
        <f t="shared" si="5"/>
        <v>1311211.3696866208</v>
      </c>
      <c r="J16" s="33">
        <v>249508.98838960452</v>
      </c>
      <c r="K16" s="45">
        <f t="shared" si="2"/>
        <v>7.6678087167898534E-2</v>
      </c>
      <c r="L16" s="33">
        <v>1061702.3812970163</v>
      </c>
      <c r="M16" s="46">
        <f t="shared" si="3"/>
        <v>0.32627805621310385</v>
      </c>
      <c r="N16" s="15">
        <f t="shared" si="4"/>
        <v>0.40295614338100239</v>
      </c>
    </row>
    <row r="17" spans="1:14" x14ac:dyDescent="0.25">
      <c r="A17" s="18">
        <v>2011</v>
      </c>
      <c r="B17" s="35">
        <f>[1]C02!$E$7</f>
        <v>6496542.2253903775</v>
      </c>
      <c r="C17" s="30">
        <f>[1]C02!$H$7</f>
        <v>3369918.702429974</v>
      </c>
      <c r="D17" s="11">
        <v>3226135.3096954348</v>
      </c>
      <c r="E17" s="11">
        <v>143783</v>
      </c>
      <c r="F17" s="32">
        <f>D17-E17-I17</f>
        <v>1577408.3096954348</v>
      </c>
      <c r="G17" s="13">
        <f t="shared" si="0"/>
        <v>0.95733327553840986</v>
      </c>
      <c r="H17" s="13">
        <f t="shared" si="1"/>
        <v>4.2666607920339814E-2</v>
      </c>
      <c r="I17" s="11">
        <f t="shared" si="5"/>
        <v>1504944</v>
      </c>
      <c r="J17" s="11">
        <v>333969</v>
      </c>
      <c r="K17" s="45">
        <f t="shared" si="2"/>
        <v>0.10351983656616329</v>
      </c>
      <c r="L17" s="11">
        <v>1170975</v>
      </c>
      <c r="M17" s="46">
        <f t="shared" si="3"/>
        <v>0.36296524714288769</v>
      </c>
      <c r="N17" s="15">
        <f t="shared" si="4"/>
        <v>0.46648508370905101</v>
      </c>
    </row>
    <row r="18" spans="1:14" x14ac:dyDescent="0.25">
      <c r="A18" s="18">
        <v>2012</v>
      </c>
      <c r="B18" s="11">
        <v>6627556</v>
      </c>
      <c r="C18" s="36">
        <v>3364688</v>
      </c>
      <c r="D18" s="11">
        <v>3243877</v>
      </c>
      <c r="E18" s="30">
        <v>120811</v>
      </c>
      <c r="F18" s="32">
        <f t="shared" si="6"/>
        <v>1369298</v>
      </c>
      <c r="G18" s="13">
        <f t="shared" si="0"/>
        <v>0.9640944420403913</v>
      </c>
      <c r="H18" s="13">
        <f t="shared" si="1"/>
        <v>3.5905557959608737E-2</v>
      </c>
      <c r="I18" s="11">
        <f t="shared" si="5"/>
        <v>1753768</v>
      </c>
      <c r="J18" s="11">
        <v>339713</v>
      </c>
      <c r="K18" s="45">
        <f t="shared" si="2"/>
        <v>0.1047243776505706</v>
      </c>
      <c r="L18" s="11">
        <v>1414055</v>
      </c>
      <c r="M18" s="46">
        <f t="shared" si="3"/>
        <v>0.43591511022150348</v>
      </c>
      <c r="N18" s="15">
        <f t="shared" si="4"/>
        <v>0.54063948787207405</v>
      </c>
    </row>
    <row r="19" spans="1:14" x14ac:dyDescent="0.25">
      <c r="A19" s="18">
        <v>2013</v>
      </c>
      <c r="B19" s="35">
        <v>6760948</v>
      </c>
      <c r="C19" s="11">
        <f>SUM(D19,E19)</f>
        <v>3628733</v>
      </c>
      <c r="D19" s="11">
        <v>3487009</v>
      </c>
      <c r="E19" s="11">
        <v>141724</v>
      </c>
      <c r="F19" s="32">
        <f t="shared" si="6"/>
        <v>1514200</v>
      </c>
      <c r="G19" s="13">
        <f t="shared" si="0"/>
        <v>0.9609439437952586</v>
      </c>
      <c r="H19" s="13">
        <f>E19/C19</f>
        <v>3.9056056204741438E-2</v>
      </c>
      <c r="I19" s="11">
        <f>SUM(J19,L19)</f>
        <v>1831085</v>
      </c>
      <c r="J19" s="11">
        <v>408875</v>
      </c>
      <c r="K19" s="45">
        <f t="shared" si="2"/>
        <v>0.1172566517608644</v>
      </c>
      <c r="L19" s="47">
        <v>1422210</v>
      </c>
      <c r="M19" s="46">
        <f t="shared" si="3"/>
        <v>0.40785957248748139</v>
      </c>
      <c r="N19" s="15">
        <f t="shared" si="4"/>
        <v>0.52511622424834581</v>
      </c>
    </row>
    <row r="20" spans="1:14" x14ac:dyDescent="0.25">
      <c r="A20" s="18">
        <v>2014</v>
      </c>
      <c r="B20" s="11">
        <v>6521491</v>
      </c>
      <c r="C20" s="11">
        <v>3655099</v>
      </c>
      <c r="D20" s="11">
        <v>3460911</v>
      </c>
      <c r="E20" s="11">
        <v>194188</v>
      </c>
      <c r="F20" s="32">
        <f t="shared" si="6"/>
        <v>1877129</v>
      </c>
      <c r="G20" s="13">
        <f t="shared" si="0"/>
        <v>0.94687202726930242</v>
      </c>
      <c r="H20" s="13">
        <f t="shared" si="1"/>
        <v>5.3127972730697581E-2</v>
      </c>
      <c r="I20" s="11">
        <f t="shared" si="5"/>
        <v>1389594</v>
      </c>
      <c r="J20" s="11">
        <v>431420</v>
      </c>
      <c r="K20" s="45">
        <f>J20/D20</f>
        <v>0.12465504024807342</v>
      </c>
      <c r="L20" s="11">
        <v>958174</v>
      </c>
      <c r="M20" s="46">
        <f t="shared" si="3"/>
        <v>0.27685600698775553</v>
      </c>
      <c r="N20" s="15">
        <f t="shared" si="4"/>
        <v>0.40151104723582892</v>
      </c>
    </row>
    <row r="21" spans="1:14" x14ac:dyDescent="0.25">
      <c r="A21" s="18">
        <v>2015</v>
      </c>
      <c r="B21" s="35">
        <v>6748693</v>
      </c>
      <c r="C21" s="11">
        <v>3935335</v>
      </c>
      <c r="D21" s="11">
        <v>3647637</v>
      </c>
      <c r="E21" s="11">
        <v>287698</v>
      </c>
      <c r="F21" s="32">
        <f>D21-E21-I21</f>
        <v>1346315</v>
      </c>
      <c r="G21" s="13">
        <f t="shared" si="0"/>
        <v>0.9268936443784328</v>
      </c>
      <c r="H21" s="13">
        <f t="shared" si="1"/>
        <v>7.3106355621567157E-2</v>
      </c>
      <c r="I21" s="11">
        <f t="shared" si="5"/>
        <v>2013624</v>
      </c>
      <c r="J21" s="11">
        <v>516090</v>
      </c>
      <c r="K21" s="45">
        <f>J21/D21</f>
        <v>0.14148611827328214</v>
      </c>
      <c r="L21" s="11">
        <v>1497534</v>
      </c>
      <c r="M21" s="46">
        <f>L21/D21</f>
        <v>0.41054907601825513</v>
      </c>
      <c r="N21" s="15">
        <f>I21/D21</f>
        <v>0.55203519429153725</v>
      </c>
    </row>
    <row r="22" spans="1:14" x14ac:dyDescent="0.25">
      <c r="A22" s="18">
        <v>2016</v>
      </c>
      <c r="B22" s="35">
        <v>6861681.8997435095</v>
      </c>
      <c r="C22" s="11">
        <v>3944835.5112500573</v>
      </c>
      <c r="D22" s="11">
        <v>3653787.0229581357</v>
      </c>
      <c r="E22" s="11">
        <v>291048.4882919644</v>
      </c>
      <c r="F22" s="32">
        <f t="shared" ref="F22:F26" si="7">D22-E22-I22</f>
        <v>1327134.6964937483</v>
      </c>
      <c r="G22" s="13">
        <f t="shared" si="0"/>
        <v>0.92622037409116387</v>
      </c>
      <c r="H22" s="13">
        <f t="shared" si="1"/>
        <v>7.3779625908846999E-2</v>
      </c>
      <c r="I22" s="11">
        <f>SUM(J22,L22)</f>
        <v>2035603.838172423</v>
      </c>
      <c r="J22" s="11">
        <v>421429.46663684823</v>
      </c>
      <c r="K22" s="45">
        <f t="shared" si="2"/>
        <v>0.11534045744561638</v>
      </c>
      <c r="L22" s="11">
        <v>1614174.3715355748</v>
      </c>
      <c r="M22" s="46">
        <f t="shared" ref="M22:M26" si="8">L22/D22</f>
        <v>0.44178118795460775</v>
      </c>
      <c r="N22" s="15">
        <f t="shared" ref="N22:N26" si="9">I22/D22</f>
        <v>0.55712164540022413</v>
      </c>
    </row>
    <row r="23" spans="1:14" x14ac:dyDescent="0.25">
      <c r="A23" s="18">
        <v>2017</v>
      </c>
      <c r="B23" s="35">
        <v>6936384.9751318004</v>
      </c>
      <c r="C23" s="11">
        <v>4093474.222108868</v>
      </c>
      <c r="D23" s="11">
        <v>3819978.2322415821</v>
      </c>
      <c r="E23" s="11">
        <v>273495.98986728955</v>
      </c>
      <c r="F23" s="32">
        <f t="shared" si="7"/>
        <v>1406712.0160555625</v>
      </c>
      <c r="G23" s="13">
        <f t="shared" si="0"/>
        <v>0.93318731839322866</v>
      </c>
      <c r="H23" s="13">
        <f>E23/C23</f>
        <v>6.6812681606772256E-2</v>
      </c>
      <c r="I23" s="34">
        <f t="shared" si="5"/>
        <v>2139770.22631873</v>
      </c>
      <c r="J23" s="11">
        <v>451544.85167946923</v>
      </c>
      <c r="K23" s="45">
        <f t="shared" si="2"/>
        <v>0.11820613213664845</v>
      </c>
      <c r="L23" s="11">
        <v>1688225.3746392606</v>
      </c>
      <c r="M23" s="46">
        <f>L23/D23</f>
        <v>0.44194633372258812</v>
      </c>
      <c r="N23" s="15">
        <f t="shared" si="9"/>
        <v>0.56015246585923661</v>
      </c>
    </row>
    <row r="24" spans="1:14" x14ac:dyDescent="0.25">
      <c r="A24" s="18">
        <v>2018</v>
      </c>
      <c r="B24" s="35">
        <v>7179176.4891493013</v>
      </c>
      <c r="C24" s="11">
        <v>4336377.8916988904</v>
      </c>
      <c r="D24" s="11">
        <v>4090651.3951348248</v>
      </c>
      <c r="E24" s="11">
        <v>245726.49656410009</v>
      </c>
      <c r="F24" s="32">
        <f t="shared" si="7"/>
        <v>1274856.7633635085</v>
      </c>
      <c r="G24" s="13">
        <f t="shared" si="0"/>
        <v>0.94333369860720429</v>
      </c>
      <c r="H24" s="13">
        <f t="shared" ref="H24:H26" si="10">E24/C24</f>
        <v>5.6666301392803722E-2</v>
      </c>
      <c r="I24" s="34">
        <f>SUM(J24,L24)</f>
        <v>2570068.1352072163</v>
      </c>
      <c r="J24" s="11">
        <v>582825.64747096854</v>
      </c>
      <c r="K24" s="45">
        <f t="shared" si="2"/>
        <v>0.14247746658738664</v>
      </c>
      <c r="L24" s="11">
        <v>1987242.4877362475</v>
      </c>
      <c r="M24" s="46">
        <f t="shared" si="8"/>
        <v>0.48580098761281748</v>
      </c>
      <c r="N24" s="15">
        <f t="shared" si="9"/>
        <v>0.62827845420020412</v>
      </c>
    </row>
    <row r="25" spans="1:14" x14ac:dyDescent="0.25">
      <c r="A25" s="18">
        <v>2019</v>
      </c>
      <c r="B25" s="35">
        <v>7360066.7051409623</v>
      </c>
      <c r="C25" s="11">
        <v>4220294.2098797988</v>
      </c>
      <c r="D25" s="11">
        <v>3979761.4408606421</v>
      </c>
      <c r="E25" s="11">
        <v>240532.76901917811</v>
      </c>
      <c r="F25" s="32">
        <f t="shared" si="7"/>
        <v>1327374.9749040436</v>
      </c>
      <c r="G25" s="13">
        <f t="shared" si="0"/>
        <v>0.94300568703099785</v>
      </c>
      <c r="H25" s="13">
        <f t="shared" si="10"/>
        <v>5.6994312969007178E-2</v>
      </c>
      <c r="I25" s="34">
        <f t="shared" si="5"/>
        <v>2411853.6969374204</v>
      </c>
      <c r="J25" s="11">
        <v>423257.05091736</v>
      </c>
      <c r="K25" s="45">
        <f t="shared" si="2"/>
        <v>0.10635236739864204</v>
      </c>
      <c r="L25" s="11">
        <v>1988596.6460200604</v>
      </c>
      <c r="M25" s="46">
        <f t="shared" si="8"/>
        <v>0.49967734889908805</v>
      </c>
      <c r="N25" s="15">
        <f t="shared" si="9"/>
        <v>0.60602971629773006</v>
      </c>
    </row>
    <row r="26" spans="1:14" x14ac:dyDescent="0.25">
      <c r="A26" s="18">
        <v>2020</v>
      </c>
      <c r="B26" s="35">
        <v>6908643.6656046268</v>
      </c>
      <c r="C26" s="11">
        <v>4103427.3264739504</v>
      </c>
      <c r="D26" s="11">
        <v>3655653.2532503344</v>
      </c>
      <c r="E26" s="11">
        <v>447774.07322361413</v>
      </c>
      <c r="F26" s="32">
        <f t="shared" si="7"/>
        <v>625353.81391134067</v>
      </c>
      <c r="G26" s="13">
        <f t="shared" si="0"/>
        <v>0.89087803009578692</v>
      </c>
      <c r="H26" s="13">
        <f t="shared" si="10"/>
        <v>0.10912196990421263</v>
      </c>
      <c r="I26" s="34">
        <f t="shared" si="5"/>
        <v>2582525.3661153796</v>
      </c>
      <c r="J26" s="11">
        <v>996553.65175381908</v>
      </c>
      <c r="K26" s="45">
        <f t="shared" si="2"/>
        <v>0.27260617534438142</v>
      </c>
      <c r="L26" s="11">
        <v>1585971.7143615605</v>
      </c>
      <c r="M26" s="46">
        <f t="shared" si="8"/>
        <v>0.43384084990868121</v>
      </c>
      <c r="N26" s="15">
        <f t="shared" si="9"/>
        <v>0.70644702525306269</v>
      </c>
    </row>
    <row r="27" spans="1:14" ht="16.5" customHeight="1" x14ac:dyDescent="0.25">
      <c r="A27" s="18">
        <v>2021</v>
      </c>
      <c r="B27" s="35">
        <v>6704669.6050355323</v>
      </c>
      <c r="C27" s="11">
        <v>4071227.2451356128</v>
      </c>
      <c r="D27" s="11">
        <v>3722369.5436003711</v>
      </c>
      <c r="E27" s="11">
        <v>348857.70153523789</v>
      </c>
      <c r="F27" s="32">
        <f>D27-E27-I27</f>
        <v>836098.79349148972</v>
      </c>
      <c r="G27" s="13">
        <f>D27/C27</f>
        <v>0.91431141507709646</v>
      </c>
      <c r="H27" s="13">
        <f t="shared" ref="H27:H28" si="11">E27/C27</f>
        <v>8.5688584922902628E-2</v>
      </c>
      <c r="I27" s="34">
        <f t="shared" ref="I27" si="12">SUM(J27,L27)</f>
        <v>2537413.0485736434</v>
      </c>
      <c r="J27" s="11">
        <v>1535290.4225584948</v>
      </c>
      <c r="K27" s="45">
        <f t="shared" ref="K27:K28" si="13">J27/D27</f>
        <v>0.41244975937384298</v>
      </c>
      <c r="L27" s="11">
        <v>1002122.6260151487</v>
      </c>
      <c r="M27" s="46">
        <f>L27/D27</f>
        <v>0.26921631887356084</v>
      </c>
      <c r="N27" s="15">
        <f>I27/D27</f>
        <v>0.68166607824740377</v>
      </c>
    </row>
    <row r="28" spans="1:14" ht="15.75" thickBot="1" x14ac:dyDescent="0.3">
      <c r="A28" s="19">
        <v>2022</v>
      </c>
      <c r="B28" s="37">
        <v>6795513</v>
      </c>
      <c r="C28" s="25">
        <v>3986387</v>
      </c>
      <c r="D28" s="25">
        <v>3629959</v>
      </c>
      <c r="E28" s="25">
        <v>356428</v>
      </c>
      <c r="F28" s="38">
        <f>D28-E28</f>
        <v>3273531</v>
      </c>
      <c r="G28" s="16">
        <f>D28/C28</f>
        <v>0.91058871103081562</v>
      </c>
      <c r="H28" s="16">
        <f t="shared" si="11"/>
        <v>8.9411288969184377E-2</v>
      </c>
      <c r="I28" s="39">
        <v>2088911.4101976976</v>
      </c>
      <c r="J28" s="25">
        <v>758400.76767144806</v>
      </c>
      <c r="K28" s="48">
        <f t="shared" si="13"/>
        <v>0.20892819110944449</v>
      </c>
      <c r="L28" s="25">
        <v>1330510.6425262494</v>
      </c>
      <c r="M28" s="49">
        <f t="shared" ref="M28" si="14">L28/D28</f>
        <v>0.36653599738351023</v>
      </c>
      <c r="N28" s="17">
        <f>I28/D28</f>
        <v>0.57546418849295478</v>
      </c>
    </row>
    <row r="29" spans="1:14" x14ac:dyDescent="0.25">
      <c r="A29" s="20" t="s">
        <v>14</v>
      </c>
      <c r="B29" s="27"/>
      <c r="C29" s="28"/>
      <c r="D29" s="28"/>
      <c r="E29" s="28"/>
      <c r="F29" s="28"/>
      <c r="G29" s="29"/>
      <c r="H29" s="28"/>
      <c r="I29" s="4"/>
      <c r="J29" s="4"/>
      <c r="K29" s="3"/>
      <c r="L29" s="5"/>
      <c r="M29" s="3"/>
      <c r="N29" s="6"/>
    </row>
    <row r="30" spans="1:14" x14ac:dyDescent="0.25">
      <c r="A30" s="20" t="s">
        <v>22</v>
      </c>
      <c r="B30" s="27"/>
      <c r="C30" s="28"/>
      <c r="D30" s="28"/>
      <c r="E30" s="28"/>
      <c r="F30" s="28"/>
      <c r="G30" s="28"/>
      <c r="H30" s="28"/>
      <c r="I30" s="4"/>
      <c r="J30" s="4"/>
      <c r="K30" s="3"/>
      <c r="L30" s="5"/>
      <c r="M30" s="3"/>
      <c r="N30" s="6"/>
    </row>
    <row r="31" spans="1:14" x14ac:dyDescent="0.25">
      <c r="A31" s="1"/>
      <c r="B31" s="2"/>
      <c r="C31" s="3"/>
      <c r="D31" s="3"/>
      <c r="E31" s="3"/>
      <c r="F31" s="3"/>
      <c r="G31" s="3"/>
      <c r="H31" s="3"/>
      <c r="I31" s="4"/>
      <c r="J31" s="4"/>
      <c r="K31" s="3"/>
      <c r="L31" s="5"/>
      <c r="M31" s="3"/>
      <c r="N31" s="6"/>
    </row>
    <row r="32" spans="1:14" ht="18" x14ac:dyDescent="0.25">
      <c r="A32" s="67" t="s">
        <v>23</v>
      </c>
      <c r="B32" s="67"/>
      <c r="C32" s="67"/>
      <c r="D32" s="67"/>
      <c r="E32" s="67"/>
      <c r="F32" s="67"/>
      <c r="G32" s="67"/>
      <c r="H32" s="67"/>
      <c r="I32" s="67"/>
      <c r="J32" s="67"/>
      <c r="K32" s="67"/>
      <c r="L32" s="67"/>
      <c r="M32" s="67"/>
      <c r="N32" s="67"/>
    </row>
    <row r="33" spans="1:16" ht="12" customHeight="1" thickBot="1" x14ac:dyDescent="0.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</row>
    <row r="34" spans="1:16" ht="45" x14ac:dyDescent="0.25">
      <c r="A34" s="40" t="s">
        <v>0</v>
      </c>
      <c r="B34" s="41" t="s">
        <v>1</v>
      </c>
      <c r="C34" s="41" t="s">
        <v>2</v>
      </c>
      <c r="D34" s="41" t="s">
        <v>15</v>
      </c>
      <c r="E34" s="41" t="s">
        <v>4</v>
      </c>
      <c r="F34" s="42" t="s">
        <v>6</v>
      </c>
      <c r="G34" s="42" t="s">
        <v>7</v>
      </c>
      <c r="H34" s="41" t="s">
        <v>8</v>
      </c>
      <c r="I34" s="42" t="s">
        <v>13</v>
      </c>
      <c r="J34" s="42" t="s">
        <v>5</v>
      </c>
      <c r="K34" s="42" t="s">
        <v>10</v>
      </c>
      <c r="L34" s="42" t="s">
        <v>9</v>
      </c>
      <c r="M34" s="42" t="s">
        <v>12</v>
      </c>
      <c r="N34" s="43" t="s">
        <v>11</v>
      </c>
    </row>
    <row r="35" spans="1:16" ht="16.5" customHeight="1" x14ac:dyDescent="0.25">
      <c r="A35" s="18">
        <v>2001</v>
      </c>
      <c r="B35" s="30">
        <f>[2]Cuadro01!$B$17</f>
        <v>2399578.4661200065</v>
      </c>
      <c r="C35" s="30">
        <f>[2]Cuadro01!$B$37</f>
        <v>870029.2140000019</v>
      </c>
      <c r="D35" s="30">
        <f>[3]Cuadro02!$K$38</f>
        <v>828662.49731000222</v>
      </c>
      <c r="E35" s="30">
        <f>[3]Cuadro02!$N$38</f>
        <v>41366.716689999979</v>
      </c>
      <c r="F35" s="44">
        <f>D35/C35</f>
        <v>0.95245364635537444</v>
      </c>
      <c r="G35" s="44">
        <f>E35/C35</f>
        <v>4.754635364462588E-2</v>
      </c>
      <c r="H35" s="11">
        <f>+L35+N35</f>
        <v>162208.67918999997</v>
      </c>
      <c r="I35" s="14">
        <f>H35/D35</f>
        <v>0.19574758085053989</v>
      </c>
      <c r="J35" s="30">
        <f>D35-E35-H35</f>
        <v>625087.10143000225</v>
      </c>
      <c r="K35" s="45">
        <f t="shared" ref="K35:K54" si="15">L35/D35</f>
        <v>4.5455927210747836E-2</v>
      </c>
      <c r="L35" s="56">
        <v>37667.622159999984</v>
      </c>
      <c r="M35" s="46">
        <f t="shared" ref="M35:M54" si="16">N35/D35</f>
        <v>0.15029165363979208</v>
      </c>
      <c r="N35" s="57">
        <v>124541.05702999998</v>
      </c>
      <c r="O35" s="10"/>
    </row>
    <row r="36" spans="1:16" x14ac:dyDescent="0.25">
      <c r="A36" s="18">
        <v>2002</v>
      </c>
      <c r="B36" s="30">
        <f>[4]Cuadro02!$E$38</f>
        <v>2458195.77</v>
      </c>
      <c r="C36" s="30">
        <f>[4]Cuadro02!$H$38</f>
        <v>813174.89</v>
      </c>
      <c r="D36" s="30">
        <f>[4]Cuadro02!$K$38</f>
        <v>770785.61</v>
      </c>
      <c r="E36" s="30">
        <f>[4]Cuadro02!$N$38</f>
        <v>42389.27</v>
      </c>
      <c r="F36" s="13">
        <f>D36/C36</f>
        <v>0.94787187784413751</v>
      </c>
      <c r="G36" s="13">
        <f>E36/C36</f>
        <v>5.2128109858384827E-2</v>
      </c>
      <c r="H36" s="11">
        <f t="shared" ref="H36:H55" si="17">+L36+N36</f>
        <v>239226.09321839298</v>
      </c>
      <c r="I36" s="14">
        <f>H36/D36</f>
        <v>0.31036657938955681</v>
      </c>
      <c r="J36" s="30">
        <f>D36-E36-H36</f>
        <v>489170.24678160698</v>
      </c>
      <c r="K36" s="45">
        <f t="shared" si="15"/>
        <v>6.3832379931053923E-2</v>
      </c>
      <c r="L36" s="56">
        <v>49201.079902909158</v>
      </c>
      <c r="M36" s="46">
        <f t="shared" si="16"/>
        <v>0.24653419945850288</v>
      </c>
      <c r="N36" s="57">
        <v>190025.01331548381</v>
      </c>
      <c r="O36" s="10"/>
    </row>
    <row r="37" spans="1:16" x14ac:dyDescent="0.25">
      <c r="A37" s="18">
        <v>2003</v>
      </c>
      <c r="B37" s="30">
        <f>[5]Cuadro02!$E$38</f>
        <v>2547540.52</v>
      </c>
      <c r="C37" s="30">
        <f>[5]Cuadro02!$H$38</f>
        <v>822556.85</v>
      </c>
      <c r="D37" s="30">
        <f>[5]Cuadro02!$K$38</f>
        <v>772506.76</v>
      </c>
      <c r="E37" s="30">
        <f>[5]Cuadro02!$N$38</f>
        <v>50050.09</v>
      </c>
      <c r="F37" s="13">
        <f>D37/C37</f>
        <v>0.93915303240134718</v>
      </c>
      <c r="G37" s="13">
        <f>E37/C37</f>
        <v>6.0846967598652907E-2</v>
      </c>
      <c r="H37" s="11">
        <f t="shared" si="17"/>
        <v>227070.77066418435</v>
      </c>
      <c r="I37" s="14">
        <f>H37/D37</f>
        <v>0.2939401729820259</v>
      </c>
      <c r="J37" s="30">
        <f>D37-E37-H37</f>
        <v>495385.89933581569</v>
      </c>
      <c r="K37" s="45">
        <f t="shared" si="15"/>
        <v>6.2279002686794281E-2</v>
      </c>
      <c r="L37" s="56">
        <v>48110.950581606747</v>
      </c>
      <c r="M37" s="46">
        <f t="shared" si="16"/>
        <v>0.23166117029523162</v>
      </c>
      <c r="N37" s="57">
        <v>178959.82008257761</v>
      </c>
      <c r="O37" s="10"/>
    </row>
    <row r="38" spans="1:16" ht="15.75" customHeight="1" x14ac:dyDescent="0.25">
      <c r="A38" s="18">
        <v>2004</v>
      </c>
      <c r="B38" s="30">
        <v>2671004</v>
      </c>
      <c r="C38" s="30">
        <v>873063</v>
      </c>
      <c r="D38" s="30">
        <v>800890</v>
      </c>
      <c r="E38" s="30">
        <v>72174</v>
      </c>
      <c r="F38" s="13">
        <f>D38/C38</f>
        <v>0.91733357157501805</v>
      </c>
      <c r="G38" s="13">
        <f>E38/C38</f>
        <v>8.2667573817697002E-2</v>
      </c>
      <c r="H38" s="11">
        <f t="shared" si="17"/>
        <v>255250.17776976264</v>
      </c>
      <c r="I38" s="14">
        <f>H38/D38</f>
        <v>0.31870815938488761</v>
      </c>
      <c r="J38" s="30">
        <f>D38-E38-H38</f>
        <v>473465.82223023736</v>
      </c>
      <c r="K38" s="45">
        <f t="shared" si="15"/>
        <v>8.5310290545501002E-2</v>
      </c>
      <c r="L38" s="56">
        <v>68324.158594986293</v>
      </c>
      <c r="M38" s="46">
        <f t="shared" si="16"/>
        <v>0.2333978688393866</v>
      </c>
      <c r="N38" s="57">
        <v>186926.01917477633</v>
      </c>
      <c r="O38" s="10"/>
    </row>
    <row r="39" spans="1:16" x14ac:dyDescent="0.25">
      <c r="A39" s="18">
        <v>2005</v>
      </c>
      <c r="B39" s="33">
        <f>'[6]2001-2021'!$E$9</f>
        <v>132321.45650500615</v>
      </c>
      <c r="C39" s="30">
        <v>4338</v>
      </c>
      <c r="D39" s="30">
        <v>4059</v>
      </c>
      <c r="E39" s="30">
        <v>279</v>
      </c>
      <c r="F39" s="13">
        <f t="shared" ref="F39:F54" si="18">D39/C39</f>
        <v>0.93568464730290457</v>
      </c>
      <c r="G39" s="13">
        <f t="shared" ref="G39:G44" si="19">E39/C39</f>
        <v>6.4315352697095429E-2</v>
      </c>
      <c r="H39" s="11">
        <f t="shared" si="17"/>
        <v>327870.86839482689</v>
      </c>
      <c r="I39" s="14">
        <f t="shared" ref="I39:I54" si="20">H39/D39</f>
        <v>80.776267158124384</v>
      </c>
      <c r="J39" s="30">
        <f t="shared" ref="J39:J53" si="21">D39-E39-H39</f>
        <v>-324090.86839482689</v>
      </c>
      <c r="K39" s="45">
        <f t="shared" si="15"/>
        <v>25.850416180394888</v>
      </c>
      <c r="L39" s="30">
        <f>[7]Cuadro06!$F$7</f>
        <v>104926.83927622285</v>
      </c>
      <c r="M39" s="46">
        <f t="shared" si="16"/>
        <v>54.925850977729496</v>
      </c>
      <c r="N39" s="58">
        <f>[7]Cuadro06!$I$7</f>
        <v>222944.02911860403</v>
      </c>
      <c r="O39" s="10"/>
    </row>
    <row r="40" spans="1:16" ht="16.5" customHeight="1" x14ac:dyDescent="0.25">
      <c r="A40" s="18">
        <v>2006</v>
      </c>
      <c r="B40" s="33">
        <f>[8]Cuadro05!$E$8</f>
        <v>2899149.4933301192</v>
      </c>
      <c r="C40" s="30">
        <f>[8]Cuadro05!$H$8</f>
        <v>966445.83571539249</v>
      </c>
      <c r="D40" s="30">
        <f>[8]Cuadro05!$K$8</f>
        <v>924739.98408829793</v>
      </c>
      <c r="E40" s="30">
        <f>[8]Cuadro05!$N$8</f>
        <v>41705.851627114702</v>
      </c>
      <c r="F40" s="13">
        <f t="shared" si="18"/>
        <v>0.95684615724354316</v>
      </c>
      <c r="G40" s="13">
        <f t="shared" si="19"/>
        <v>4.3153842756477677E-2</v>
      </c>
      <c r="H40" s="11">
        <f t="shared" si="17"/>
        <v>258873.07455378989</v>
      </c>
      <c r="I40" s="13">
        <f t="shared" si="20"/>
        <v>0.27994147436915806</v>
      </c>
      <c r="J40" s="30">
        <f t="shared" si="21"/>
        <v>624161.05790739332</v>
      </c>
      <c r="K40" s="45">
        <f t="shared" si="15"/>
        <v>6.6758714417197731E-2</v>
      </c>
      <c r="L40" s="30">
        <f>[9]Cuadro06!$F$7</f>
        <v>61734.452507914655</v>
      </c>
      <c r="M40" s="46">
        <f t="shared" si="16"/>
        <v>0.21318275995196034</v>
      </c>
      <c r="N40" s="58">
        <f>[9]Cuadro06!$I$7</f>
        <v>197138.62204587524</v>
      </c>
      <c r="O40" s="10"/>
    </row>
    <row r="41" spans="1:16" ht="15.75" customHeight="1" x14ac:dyDescent="0.25">
      <c r="A41" s="18">
        <v>2007</v>
      </c>
      <c r="B41" s="33">
        <f>[10]Cuadro05!$E$9</f>
        <v>2987867.7797504766</v>
      </c>
      <c r="C41" s="33">
        <f>[10]Cuadro05!$H$9</f>
        <v>981774.15220515046</v>
      </c>
      <c r="D41" s="33">
        <f>[10]Cuadro05!$K$9</f>
        <v>941564.89548759675</v>
      </c>
      <c r="E41" s="33">
        <f>[10]Cuadro05!$N$9</f>
        <v>40209.256717543183</v>
      </c>
      <c r="F41" s="13">
        <f t="shared" si="18"/>
        <v>0.95904429075949882</v>
      </c>
      <c r="G41" s="13">
        <f t="shared" si="19"/>
        <v>4.0955709240490475E-2</v>
      </c>
      <c r="H41" s="11">
        <f t="shared" si="17"/>
        <v>295082.50377266004</v>
      </c>
      <c r="I41" s="13">
        <f t="shared" si="20"/>
        <v>0.31339582134681143</v>
      </c>
      <c r="J41" s="30">
        <f t="shared" si="21"/>
        <v>606273.13499739347</v>
      </c>
      <c r="K41" s="45">
        <f t="shared" si="15"/>
        <v>6.4925198523938882E-2</v>
      </c>
      <c r="L41" s="30">
        <f>[11]Cuadro03!$I$7</f>
        <v>61131.287762703985</v>
      </c>
      <c r="M41" s="46">
        <f t="shared" si="16"/>
        <v>0.24847062282287258</v>
      </c>
      <c r="N41" s="58">
        <f>[11]Cuadro03!$L$7</f>
        <v>233951.21600995609</v>
      </c>
      <c r="O41" s="10"/>
    </row>
    <row r="42" spans="1:16" x14ac:dyDescent="0.25">
      <c r="A42" s="18">
        <v>2008</v>
      </c>
      <c r="B42" s="33">
        <f>[12]C05!$E$9</f>
        <v>3100307.0611868585</v>
      </c>
      <c r="C42" s="33">
        <f>[12]C05!$H$9</f>
        <v>1064563.4183224367</v>
      </c>
      <c r="D42" s="33">
        <f>[12]C05!$K$9</f>
        <v>1031315.0840625807</v>
      </c>
      <c r="E42" s="33">
        <f>[12]C05!$N$9</f>
        <v>33248.334259873933</v>
      </c>
      <c r="F42" s="13">
        <f t="shared" si="18"/>
        <v>0.96876810372438915</v>
      </c>
      <c r="G42" s="13">
        <f t="shared" si="19"/>
        <v>3.123189627562763E-2</v>
      </c>
      <c r="H42" s="11">
        <f t="shared" si="17"/>
        <v>275759.95424076804</v>
      </c>
      <c r="I42" s="13">
        <f t="shared" si="20"/>
        <v>0.26738671672917641</v>
      </c>
      <c r="J42" s="30">
        <f t="shared" si="21"/>
        <v>722306.79556193878</v>
      </c>
      <c r="K42" s="45">
        <f t="shared" si="15"/>
        <v>5.3959679345243608E-2</v>
      </c>
      <c r="L42" s="30">
        <f>[13]C03!$I$7</f>
        <v>55649.431239929814</v>
      </c>
      <c r="M42" s="46">
        <f t="shared" si="16"/>
        <v>0.21342703738393279</v>
      </c>
      <c r="N42" s="58">
        <f>[13]C03!$L$7</f>
        <v>220110.52300083821</v>
      </c>
      <c r="O42" s="10"/>
    </row>
    <row r="43" spans="1:16" x14ac:dyDescent="0.25">
      <c r="A43" s="18">
        <v>2009</v>
      </c>
      <c r="B43" s="33">
        <f>'[14]2001-2021'!$E$9</f>
        <v>132321.45650500615</v>
      </c>
      <c r="C43" s="33">
        <v>1149985.6403799707</v>
      </c>
      <c r="D43" s="33">
        <v>1102428.6861046434</v>
      </c>
      <c r="E43" s="33">
        <v>47556.95427532716</v>
      </c>
      <c r="F43" s="13">
        <f t="shared" si="18"/>
        <v>0.95864561034030493</v>
      </c>
      <c r="G43" s="13">
        <f t="shared" si="19"/>
        <v>4.1354389659694971E-2</v>
      </c>
      <c r="H43" s="11">
        <f t="shared" si="17"/>
        <v>353850.77367093693</v>
      </c>
      <c r="I43" s="13">
        <f t="shared" si="20"/>
        <v>0.32097384450439559</v>
      </c>
      <c r="J43" s="30">
        <f t="shared" si="21"/>
        <v>701020.95815837919</v>
      </c>
      <c r="K43" s="45">
        <f t="shared" si="15"/>
        <v>5.8501356230719906E-2</v>
      </c>
      <c r="L43" s="30">
        <f>[15]C03!$I$7</f>
        <v>64493.573284772239</v>
      </c>
      <c r="M43" s="46">
        <f t="shared" si="16"/>
        <v>0.2624724882736757</v>
      </c>
      <c r="N43" s="58">
        <f>[15]C03!$L$7</f>
        <v>289357.20038616471</v>
      </c>
      <c r="O43" s="10"/>
    </row>
    <row r="44" spans="1:16" x14ac:dyDescent="0.25">
      <c r="A44" s="18">
        <v>2010</v>
      </c>
      <c r="B44" s="33">
        <f>[16]C05!$E$9</f>
        <v>3267332.9358853973</v>
      </c>
      <c r="C44" s="33">
        <f>[16]C05!$H$9</f>
        <v>1221543.3916684969</v>
      </c>
      <c r="D44" s="33">
        <f>[16]C05!$K$9</f>
        <v>1157461.4720015551</v>
      </c>
      <c r="E44" s="33">
        <f>[16]C05!$N$9</f>
        <v>64081.919666964815</v>
      </c>
      <c r="F44" s="13">
        <f t="shared" si="18"/>
        <v>0.94754020192486754</v>
      </c>
      <c r="G44" s="13">
        <f t="shared" si="19"/>
        <v>5.2459798075151311E-2</v>
      </c>
      <c r="H44" s="11">
        <f t="shared" si="17"/>
        <v>386523.78721831628</v>
      </c>
      <c r="I44" s="13">
        <f t="shared" si="20"/>
        <v>0.33394095317048872</v>
      </c>
      <c r="J44" s="30">
        <f>D44-E44-H44</f>
        <v>706855.76511627412</v>
      </c>
      <c r="K44" s="45">
        <f t="shared" si="15"/>
        <v>8.9075406410750721E-2</v>
      </c>
      <c r="L44" s="33">
        <f>[17]C03!$I$6</f>
        <v>103101.35102332429</v>
      </c>
      <c r="M44" s="46">
        <f t="shared" si="16"/>
        <v>0.24486554675973801</v>
      </c>
      <c r="N44" s="59">
        <f>[17]C03!$L$6</f>
        <v>283422.43619499198</v>
      </c>
      <c r="O44" s="10"/>
    </row>
    <row r="45" spans="1:16" ht="16.5" customHeight="1" x14ac:dyDescent="0.25">
      <c r="A45" s="18">
        <v>2011</v>
      </c>
      <c r="B45" s="35">
        <f>[18]C05!$E$8</f>
        <v>3394623.8384337542</v>
      </c>
      <c r="C45" s="30">
        <f>[18]C05!$H$8</f>
        <v>1186107.4168749917</v>
      </c>
      <c r="D45" s="11">
        <f>[18]C05!$K$8</f>
        <v>1113790.1647299146</v>
      </c>
      <c r="E45" s="11">
        <f>[18]C05!$N$8</f>
        <v>72317.252145103063</v>
      </c>
      <c r="F45" s="13">
        <f t="shared" si="18"/>
        <v>0.93902976145650485</v>
      </c>
      <c r="G45" s="13">
        <f>E45/D45</f>
        <v>6.4928973549195801E-2</v>
      </c>
      <c r="H45" s="11">
        <f t="shared" si="17"/>
        <v>481367.70525109151</v>
      </c>
      <c r="I45" s="13">
        <f t="shared" si="20"/>
        <v>0.43218886330157119</v>
      </c>
      <c r="J45" s="30">
        <f t="shared" si="21"/>
        <v>560105.20733372006</v>
      </c>
      <c r="K45" s="45">
        <f t="shared" si="15"/>
        <v>0.1438751344641408</v>
      </c>
      <c r="L45" s="11">
        <f>[19]C03!$I$6</f>
        <v>160246.70971535399</v>
      </c>
      <c r="M45" s="46">
        <f t="shared" si="16"/>
        <v>0.28831372883743034</v>
      </c>
      <c r="N45" s="50">
        <f>[19]C03!$L$6</f>
        <v>321120.99553573749</v>
      </c>
      <c r="O45" s="10"/>
      <c r="P45" s="26"/>
    </row>
    <row r="46" spans="1:16" ht="16.5" customHeight="1" x14ac:dyDescent="0.25">
      <c r="A46" s="18">
        <v>2012</v>
      </c>
      <c r="B46" s="11">
        <f>[20]C05!$E$8</f>
        <v>3451590.5944840522</v>
      </c>
      <c r="C46" s="36">
        <f>[20]C05!$H$8</f>
        <v>1168220.7702124687</v>
      </c>
      <c r="D46" s="11">
        <f>[20]C05!$K$8</f>
        <v>1110163.3887759373</v>
      </c>
      <c r="E46" s="30">
        <f>[20]C05!$N$8</f>
        <v>58057.381436516538</v>
      </c>
      <c r="F46" s="13">
        <f t="shared" si="18"/>
        <v>0.95030273136988286</v>
      </c>
      <c r="G46" s="13">
        <f>E46/C46</f>
        <v>4.9697268630104416E-2</v>
      </c>
      <c r="H46" s="11">
        <f t="shared" si="17"/>
        <v>546315.19491480628</v>
      </c>
      <c r="I46" s="13">
        <f t="shared" si="20"/>
        <v>0.49210341508124472</v>
      </c>
      <c r="J46" s="30">
        <f t="shared" si="21"/>
        <v>505790.81242461444</v>
      </c>
      <c r="K46" s="45">
        <f t="shared" si="15"/>
        <v>0.14376051539478649</v>
      </c>
      <c r="L46" s="11">
        <f>[21]C03!$I$6</f>
        <v>159597.66094285148</v>
      </c>
      <c r="M46" s="46">
        <f t="shared" si="16"/>
        <v>0.34834289968645821</v>
      </c>
      <c r="N46" s="50">
        <f>[21]C03!$L$6</f>
        <v>386717.53397195484</v>
      </c>
      <c r="O46" s="10"/>
      <c r="P46" s="26"/>
    </row>
    <row r="47" spans="1:16" x14ac:dyDescent="0.25">
      <c r="A47" s="18">
        <v>2013</v>
      </c>
      <c r="B47" s="35">
        <f>[22]C05!$E$8</f>
        <v>3568072.6425327845</v>
      </c>
      <c r="C47" s="11">
        <f>[22]C05!$H$8</f>
        <v>1325577.2116350094</v>
      </c>
      <c r="D47" s="11">
        <f>[22]C05!$K$8</f>
        <v>1260008.6912590454</v>
      </c>
      <c r="E47" s="11">
        <f>[22]C05!$N$8</f>
        <v>65568.520375958586</v>
      </c>
      <c r="F47" s="13">
        <f t="shared" si="18"/>
        <v>0.95053587237284376</v>
      </c>
      <c r="G47" s="13">
        <f>E47/C47</f>
        <v>4.9464127627152153E-2</v>
      </c>
      <c r="H47" s="11">
        <f t="shared" si="17"/>
        <v>612738.52244093281</v>
      </c>
      <c r="I47" s="13">
        <f t="shared" si="20"/>
        <v>0.48629706024381686</v>
      </c>
      <c r="J47" s="30">
        <f t="shared" si="21"/>
        <v>581701.64844215394</v>
      </c>
      <c r="K47" s="45">
        <f t="shared" si="15"/>
        <v>0.13407484738018258</v>
      </c>
      <c r="L47" s="11">
        <f>[23]C06!$F$6</f>
        <v>168935.47297826011</v>
      </c>
      <c r="M47" s="46">
        <f t="shared" si="16"/>
        <v>0.35222221286363425</v>
      </c>
      <c r="N47" s="60">
        <f>[23]C06!$I$6</f>
        <v>443803.04946267273</v>
      </c>
      <c r="O47" s="10"/>
      <c r="P47" s="26"/>
    </row>
    <row r="48" spans="1:16" x14ac:dyDescent="0.25">
      <c r="A48" s="18">
        <v>2014</v>
      </c>
      <c r="B48" s="11">
        <f>[24]C05!$E$8</f>
        <v>3461776.1267185626</v>
      </c>
      <c r="C48" s="11">
        <f>[24]C05!$H$8</f>
        <v>1403815.5828779605</v>
      </c>
      <c r="D48" s="11">
        <f>[24]C05!$K$8</f>
        <v>1309902.6295939824</v>
      </c>
      <c r="E48" s="11">
        <f>[24]C05!$N$8</f>
        <v>93912.953283969007</v>
      </c>
      <c r="F48" s="13">
        <f t="shared" si="18"/>
        <v>0.9331016449529308</v>
      </c>
      <c r="G48" s="13">
        <f>E48/C48</f>
        <v>6.6898355047062652E-2</v>
      </c>
      <c r="H48" s="11">
        <f t="shared" si="17"/>
        <v>487891.43995113613</v>
      </c>
      <c r="I48" s="13">
        <f t="shared" si="20"/>
        <v>0.37246389840622202</v>
      </c>
      <c r="J48" s="30">
        <f t="shared" si="21"/>
        <v>728098.23635887715</v>
      </c>
      <c r="K48" s="45">
        <f t="shared" si="15"/>
        <v>0.14585694410640551</v>
      </c>
      <c r="L48" s="11">
        <f>[25]C06!$F$6</f>
        <v>191058.39462952307</v>
      </c>
      <c r="M48" s="46">
        <f t="shared" si="16"/>
        <v>0.2266069542998165</v>
      </c>
      <c r="N48" s="50">
        <f>[25]C06!$I$6</f>
        <v>296833.04532161303</v>
      </c>
      <c r="O48" s="10"/>
      <c r="P48" s="26"/>
    </row>
    <row r="49" spans="1:15" x14ac:dyDescent="0.25">
      <c r="A49" s="18">
        <v>2015</v>
      </c>
      <c r="B49" s="35">
        <v>3578962</v>
      </c>
      <c r="C49" s="11">
        <v>1577089</v>
      </c>
      <c r="D49" s="11">
        <v>1392191</v>
      </c>
      <c r="E49" s="11">
        <v>184897</v>
      </c>
      <c r="F49" s="13">
        <f t="shared" si="18"/>
        <v>0.882759945697421</v>
      </c>
      <c r="G49" s="13">
        <f>E49/C49</f>
        <v>0.11723942022295508</v>
      </c>
      <c r="H49" s="11">
        <f t="shared" si="17"/>
        <v>733825</v>
      </c>
      <c r="I49" s="13">
        <f t="shared" si="20"/>
        <v>0.52710080728865505</v>
      </c>
      <c r="J49" s="30">
        <f t="shared" si="21"/>
        <v>473469</v>
      </c>
      <c r="K49" s="45">
        <f t="shared" si="15"/>
        <v>0.16862269616740808</v>
      </c>
      <c r="L49" s="11">
        <v>234755</v>
      </c>
      <c r="M49" s="46">
        <f t="shared" si="16"/>
        <v>0.358478111121247</v>
      </c>
      <c r="N49" s="51">
        <v>499070</v>
      </c>
      <c r="O49" s="10"/>
    </row>
    <row r="50" spans="1:15" x14ac:dyDescent="0.25">
      <c r="A50" s="18">
        <v>2016</v>
      </c>
      <c r="B50" s="35">
        <v>3661946.5641104998</v>
      </c>
      <c r="C50" s="11">
        <v>1576038.0391697988</v>
      </c>
      <c r="D50" s="11">
        <v>1406846.4751102827</v>
      </c>
      <c r="E50" s="11">
        <v>169191.56405956979</v>
      </c>
      <c r="F50" s="13">
        <f t="shared" si="18"/>
        <v>0.89264753777856765</v>
      </c>
      <c r="G50" s="13">
        <f t="shared" ref="G50:G54" si="22">E50/C50</f>
        <v>0.10735246222146638</v>
      </c>
      <c r="H50" s="11">
        <f t="shared" si="17"/>
        <v>728420.1273562531</v>
      </c>
      <c r="I50" s="13">
        <f t="shared" si="20"/>
        <v>0.51776802959196544</v>
      </c>
      <c r="J50" s="30">
        <f t="shared" si="21"/>
        <v>509234.78369445982</v>
      </c>
      <c r="K50" s="45">
        <f t="shared" si="15"/>
        <v>0.13935050404297494</v>
      </c>
      <c r="L50" s="52">
        <v>196044.76541770049</v>
      </c>
      <c r="M50" s="46">
        <f t="shared" si="16"/>
        <v>0.3784175255489905</v>
      </c>
      <c r="N50" s="51">
        <v>532375.36193855258</v>
      </c>
      <c r="O50" s="10"/>
    </row>
    <row r="51" spans="1:15" x14ac:dyDescent="0.25">
      <c r="A51" s="18">
        <v>2017</v>
      </c>
      <c r="B51" s="35">
        <v>3666903.6909955712</v>
      </c>
      <c r="C51" s="11">
        <v>1607074.1382791854</v>
      </c>
      <c r="D51" s="11">
        <v>1434034.6415689525</v>
      </c>
      <c r="E51" s="11">
        <v>173039.49671018805</v>
      </c>
      <c r="F51" s="13">
        <f t="shared" si="18"/>
        <v>0.8923263758724167</v>
      </c>
      <c r="G51" s="13">
        <f t="shared" si="22"/>
        <v>0.10767362412755543</v>
      </c>
      <c r="H51" s="11">
        <f t="shared" si="17"/>
        <v>732773.13427260844</v>
      </c>
      <c r="I51" s="13">
        <f t="shared" si="20"/>
        <v>0.51098705221715846</v>
      </c>
      <c r="J51" s="30">
        <f>D51-E51-H51</f>
        <v>528222.01058615604</v>
      </c>
      <c r="K51" s="45">
        <f t="shared" si="15"/>
        <v>0.14994636187756305</v>
      </c>
      <c r="L51" s="52">
        <v>215028.27730965958</v>
      </c>
      <c r="M51" s="46">
        <f t="shared" si="16"/>
        <v>0.36104069033959546</v>
      </c>
      <c r="N51" s="51">
        <v>517744.85696294892</v>
      </c>
      <c r="O51" s="10"/>
    </row>
    <row r="52" spans="1:15" x14ac:dyDescent="0.25">
      <c r="A52" s="18">
        <v>2018</v>
      </c>
      <c r="B52" s="35">
        <v>3757226.806272455</v>
      </c>
      <c r="C52" s="11">
        <v>1727137.9068510681</v>
      </c>
      <c r="D52" s="11">
        <v>1599653.0569208513</v>
      </c>
      <c r="E52" s="11">
        <v>127484.84993021621</v>
      </c>
      <c r="F52" s="13">
        <f t="shared" si="18"/>
        <v>0.92618722024192712</v>
      </c>
      <c r="G52" s="13">
        <f t="shared" si="22"/>
        <v>7.3812779758072489E-2</v>
      </c>
      <c r="H52" s="11">
        <f t="shared" si="17"/>
        <v>927136.36057748925</v>
      </c>
      <c r="I52" s="13">
        <f t="shared" si="20"/>
        <v>0.57958590243444441</v>
      </c>
      <c r="J52" s="30">
        <f t="shared" si="21"/>
        <v>545031.84641314577</v>
      </c>
      <c r="K52" s="45">
        <f t="shared" si="15"/>
        <v>0.20800774001095687</v>
      </c>
      <c r="L52" s="52">
        <v>332740.21717172483</v>
      </c>
      <c r="M52" s="46">
        <f t="shared" si="16"/>
        <v>0.37157816242348746</v>
      </c>
      <c r="N52" s="51">
        <v>594396.14340576436</v>
      </c>
      <c r="O52" s="10"/>
    </row>
    <row r="53" spans="1:15" x14ac:dyDescent="0.25">
      <c r="A53" s="18">
        <v>2019</v>
      </c>
      <c r="B53" s="35">
        <v>3872051.6253631278</v>
      </c>
      <c r="C53" s="11">
        <v>1602446.0684781773</v>
      </c>
      <c r="D53" s="11">
        <v>1472437.1308904677</v>
      </c>
      <c r="E53" s="11">
        <v>130008.93758771608</v>
      </c>
      <c r="F53" s="13">
        <f>D53/C53</f>
        <v>0.9188684473411467</v>
      </c>
      <c r="G53" s="13">
        <f t="shared" si="22"/>
        <v>8.1131552658857298E-2</v>
      </c>
      <c r="H53" s="11">
        <f t="shared" si="17"/>
        <v>820287.12331092276</v>
      </c>
      <c r="I53" s="13">
        <f t="shared" si="20"/>
        <v>0.55709483692172845</v>
      </c>
      <c r="J53" s="30">
        <f t="shared" si="21"/>
        <v>522141.06999182876</v>
      </c>
      <c r="K53" s="45">
        <f t="shared" si="15"/>
        <v>0.16384118562687131</v>
      </c>
      <c r="L53" s="52">
        <v>241245.8452861229</v>
      </c>
      <c r="M53" s="46">
        <f t="shared" si="16"/>
        <v>0.39325365129485712</v>
      </c>
      <c r="N53" s="51">
        <v>579041.27802479989</v>
      </c>
      <c r="O53" s="10"/>
    </row>
    <row r="54" spans="1:15" x14ac:dyDescent="0.25">
      <c r="A54" s="18">
        <v>2020</v>
      </c>
      <c r="B54" s="35">
        <v>3740188.6989302402</v>
      </c>
      <c r="C54" s="11">
        <v>1785779.7814547382</v>
      </c>
      <c r="D54" s="11">
        <v>1540459.4398014925</v>
      </c>
      <c r="E54" s="11">
        <v>245320.34165326599</v>
      </c>
      <c r="F54" s="13">
        <f t="shared" si="18"/>
        <v>0.86262564723775625</v>
      </c>
      <c r="G54" s="13">
        <f t="shared" si="22"/>
        <v>0.13737435276225507</v>
      </c>
      <c r="H54" s="11">
        <f t="shared" si="17"/>
        <v>1091223.5548410646</v>
      </c>
      <c r="I54" s="13">
        <f t="shared" si="20"/>
        <v>0.70837538895648067</v>
      </c>
      <c r="J54" s="30">
        <f>D54-E54-H54</f>
        <v>203915.54330716189</v>
      </c>
      <c r="K54" s="45">
        <f t="shared" si="15"/>
        <v>0.36452573945649558</v>
      </c>
      <c r="L54" s="52">
        <v>561537.11639637803</v>
      </c>
      <c r="M54" s="46">
        <f t="shared" si="16"/>
        <v>0.34384964949998509</v>
      </c>
      <c r="N54" s="51">
        <v>529686.43844468659</v>
      </c>
      <c r="O54" s="10"/>
    </row>
    <row r="55" spans="1:15" x14ac:dyDescent="0.25">
      <c r="A55" s="18">
        <v>2021</v>
      </c>
      <c r="B55" s="35">
        <v>3560123.8430229486</v>
      </c>
      <c r="C55" s="11">
        <v>1733974.528029639</v>
      </c>
      <c r="D55" s="11">
        <v>1548970.3271584406</v>
      </c>
      <c r="E55" s="11">
        <v>185004.20087120301</v>
      </c>
      <c r="F55" s="13">
        <f t="shared" ref="F55:F56" si="23">D55/C55</f>
        <v>0.89330627533414597</v>
      </c>
      <c r="G55" s="13">
        <f t="shared" ref="G55:G56" si="24">E55/C55</f>
        <v>0.10669372466585662</v>
      </c>
      <c r="H55" s="11">
        <f t="shared" si="17"/>
        <v>1101396.2638488451</v>
      </c>
      <c r="I55" s="13">
        <f t="shared" ref="I55:I56" si="25">H55/D55</f>
        <v>0.71105058924488096</v>
      </c>
      <c r="J55" s="30">
        <f>D55-E55-H55</f>
        <v>262569.86243839236</v>
      </c>
      <c r="K55" s="45">
        <f t="shared" ref="K55:K56" si="26">L55/D55</f>
        <v>0.47495534928572591</v>
      </c>
      <c r="L55" s="52">
        <v>735691.74276876228</v>
      </c>
      <c r="M55" s="46">
        <f t="shared" ref="M55:M56" si="27">N55/D55</f>
        <v>0.23609523995915505</v>
      </c>
      <c r="N55" s="51">
        <v>365704.52108008292</v>
      </c>
      <c r="O55" s="10"/>
    </row>
    <row r="56" spans="1:15" ht="15.75" thickBot="1" x14ac:dyDescent="0.3">
      <c r="A56" s="19">
        <v>2022</v>
      </c>
      <c r="B56" s="37">
        <v>3707935</v>
      </c>
      <c r="C56" s="25">
        <v>1653776</v>
      </c>
      <c r="D56" s="25">
        <v>1441102</v>
      </c>
      <c r="E56" s="25">
        <v>212674</v>
      </c>
      <c r="F56" s="16">
        <f t="shared" si="23"/>
        <v>0.87140096361296815</v>
      </c>
      <c r="G56" s="16">
        <f t="shared" si="24"/>
        <v>0.12859903638703185</v>
      </c>
      <c r="H56" s="25">
        <v>808793.5249183086</v>
      </c>
      <c r="I56" s="16">
        <f t="shared" si="25"/>
        <v>0.56123267119073361</v>
      </c>
      <c r="J56" s="53">
        <f>D56-E56-H56</f>
        <v>419634.4750816914</v>
      </c>
      <c r="K56" s="48">
        <f t="shared" si="26"/>
        <v>0.23858041778011319</v>
      </c>
      <c r="L56" s="54">
        <v>343818.71722375666</v>
      </c>
      <c r="M56" s="49">
        <f t="shared" si="27"/>
        <v>0.32265225341062043</v>
      </c>
      <c r="N56" s="55">
        <v>464974.80769455194</v>
      </c>
      <c r="O56" s="10"/>
    </row>
    <row r="57" spans="1:15" x14ac:dyDescent="0.25">
      <c r="A57" s="20" t="s">
        <v>14</v>
      </c>
      <c r="G57" s="7"/>
      <c r="H57" s="8"/>
    </row>
    <row r="58" spans="1:15" ht="15.75" x14ac:dyDescent="0.25">
      <c r="A58" s="69"/>
      <c r="B58" s="69"/>
      <c r="C58" s="69"/>
      <c r="D58" s="69"/>
      <c r="E58" s="69"/>
      <c r="F58" s="69"/>
      <c r="G58" s="69"/>
      <c r="H58" s="69"/>
      <c r="I58" s="69"/>
      <c r="J58" s="69"/>
      <c r="K58" s="69"/>
      <c r="L58" s="69"/>
      <c r="M58" s="69"/>
      <c r="N58" s="69"/>
    </row>
    <row r="59" spans="1:15" ht="18" x14ac:dyDescent="0.25">
      <c r="A59" s="67" t="s">
        <v>20</v>
      </c>
      <c r="B59" s="67"/>
      <c r="C59" s="67"/>
      <c r="D59" s="67"/>
      <c r="E59" s="67"/>
      <c r="F59" s="67"/>
      <c r="G59" s="67"/>
      <c r="H59" s="67"/>
      <c r="I59" s="67"/>
      <c r="J59" s="67"/>
      <c r="K59" s="67"/>
      <c r="L59" s="67"/>
      <c r="M59" s="67"/>
      <c r="N59" s="67"/>
    </row>
    <row r="60" spans="1:15" ht="12" customHeight="1" thickBot="1" x14ac:dyDescent="0.4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</row>
    <row r="61" spans="1:15" ht="45" x14ac:dyDescent="0.25">
      <c r="A61" s="40" t="s">
        <v>0</v>
      </c>
      <c r="B61" s="41" t="s">
        <v>1</v>
      </c>
      <c r="C61" s="41" t="s">
        <v>2</v>
      </c>
      <c r="D61" s="42" t="s">
        <v>19</v>
      </c>
      <c r="E61" s="41" t="s">
        <v>4</v>
      </c>
      <c r="F61" s="42" t="s">
        <v>6</v>
      </c>
      <c r="G61" s="42" t="s">
        <v>7</v>
      </c>
      <c r="H61" s="41" t="s">
        <v>8</v>
      </c>
      <c r="I61" s="42" t="s">
        <v>13</v>
      </c>
      <c r="J61" s="42" t="s">
        <v>5</v>
      </c>
      <c r="K61" s="42" t="s">
        <v>10</v>
      </c>
      <c r="L61" s="42" t="s">
        <v>9</v>
      </c>
      <c r="M61" s="42" t="s">
        <v>12</v>
      </c>
      <c r="N61" s="43" t="s">
        <v>11</v>
      </c>
    </row>
    <row r="62" spans="1:15" x14ac:dyDescent="0.25">
      <c r="A62" s="18">
        <v>2001</v>
      </c>
      <c r="B62" s="30">
        <f>[2]Cuadro01!$B$16</f>
        <v>2191144.5149000096</v>
      </c>
      <c r="C62" s="11">
        <f>[2]Cuadro01!$B$36</f>
        <v>1567967.5858300249</v>
      </c>
      <c r="D62" s="11">
        <f>[3]Cuadro02!$K$37</f>
        <v>1505933.1326500154</v>
      </c>
      <c r="E62" s="11">
        <f>[3]Cuadro02!$N$37</f>
        <v>62034.45317999996</v>
      </c>
      <c r="F62" s="13">
        <f>D62/C62</f>
        <v>0.96043639311129592</v>
      </c>
      <c r="G62" s="13">
        <f>E62/C62</f>
        <v>3.9563606888698012E-2</v>
      </c>
      <c r="H62" s="11">
        <v>480482.53958000027</v>
      </c>
      <c r="I62" s="14">
        <f>H62/D62</f>
        <v>0.31905967746023839</v>
      </c>
      <c r="J62" s="63">
        <f>D62-E62-H62</f>
        <v>963416.13989001513</v>
      </c>
      <c r="K62" s="45">
        <f t="shared" ref="K62:K76" si="28">L62/D62</f>
        <v>2.619528998813025</v>
      </c>
      <c r="L62" s="11">
        <f>'[26]2001-2021'!$C$20</f>
        <v>3944835.5112500573</v>
      </c>
      <c r="M62" s="46">
        <f t="shared" ref="M62:M76" si="29">N62/D62</f>
        <v>2.4262611292232519</v>
      </c>
      <c r="N62" s="50">
        <f>'[26]2001-2021'!$D$20</f>
        <v>3653787.0229581357</v>
      </c>
    </row>
    <row r="63" spans="1:15" x14ac:dyDescent="0.25">
      <c r="A63" s="18">
        <v>2002</v>
      </c>
      <c r="B63" s="30">
        <f>[4]Cuadro02!$E$37</f>
        <v>2300045.9700000002</v>
      </c>
      <c r="C63" s="11">
        <f>[4]Cuadro02!$H$37</f>
        <v>1684685.1</v>
      </c>
      <c r="D63" s="11">
        <f>[4]Cuadro02!$K$37</f>
        <v>1625848.1</v>
      </c>
      <c r="E63" s="11">
        <f>[4]Cuadro02!$N$37</f>
        <v>58837</v>
      </c>
      <c r="F63" s="13">
        <f>D63/C63</f>
        <v>0.96507537224612483</v>
      </c>
      <c r="G63" s="13">
        <f>E63/C63</f>
        <v>3.4924627753875191E-2</v>
      </c>
      <c r="H63" s="11">
        <v>598306</v>
      </c>
      <c r="I63" s="14">
        <f>H63/D63</f>
        <v>0.36799624761993444</v>
      </c>
      <c r="J63" s="63">
        <f t="shared" ref="J63:J81" si="30">D63-E63-H63</f>
        <v>968705.10000000009</v>
      </c>
      <c r="K63" s="45">
        <f t="shared" si="28"/>
        <v>3.167128013042135E-2</v>
      </c>
      <c r="L63" s="11">
        <v>51492.690624613308</v>
      </c>
      <c r="M63" s="46">
        <f t="shared" si="29"/>
        <v>0.3363251084127073</v>
      </c>
      <c r="N63" s="50">
        <v>546813.53849509417</v>
      </c>
    </row>
    <row r="64" spans="1:15" x14ac:dyDescent="0.25">
      <c r="A64" s="18">
        <v>2003</v>
      </c>
      <c r="B64" s="30">
        <f>[5]Cuadro02!$E$37</f>
        <v>2344977.11</v>
      </c>
      <c r="C64" s="11">
        <f>[5]Cuadro02!$H$37</f>
        <v>1558257.19</v>
      </c>
      <c r="D64" s="11">
        <f>[5]Cuadro02!$K$37</f>
        <v>1480183.6</v>
      </c>
      <c r="E64" s="11">
        <f>[5]Cuadro02!$N$37</f>
        <v>78073.59</v>
      </c>
      <c r="F64" s="13">
        <f>D64/C64</f>
        <v>0.94989685239315347</v>
      </c>
      <c r="G64" s="13">
        <f>E64/C64</f>
        <v>5.0103147606846594E-2</v>
      </c>
      <c r="H64" s="11">
        <v>562202</v>
      </c>
      <c r="I64" s="14">
        <f>H64/D64</f>
        <v>0.37981909811728759</v>
      </c>
      <c r="J64" s="63">
        <f t="shared" si="30"/>
        <v>839908.01</v>
      </c>
      <c r="K64" s="45">
        <f t="shared" si="28"/>
        <v>5.2994365949326862E-2</v>
      </c>
      <c r="L64" s="11">
        <v>78441.391370592057</v>
      </c>
      <c r="M64" s="46">
        <f t="shared" si="29"/>
        <v>0.32682505575652737</v>
      </c>
      <c r="N64" s="50">
        <v>483761.08759989741</v>
      </c>
    </row>
    <row r="65" spans="1:14" x14ac:dyDescent="0.25">
      <c r="A65" s="18">
        <v>2004</v>
      </c>
      <c r="B65" s="30">
        <v>2455452</v>
      </c>
      <c r="C65" s="11">
        <v>1719122</v>
      </c>
      <c r="D65" s="11">
        <v>1638065</v>
      </c>
      <c r="E65" s="11">
        <v>81057</v>
      </c>
      <c r="F65" s="13">
        <f>D65/C65</f>
        <v>0.95284976866097926</v>
      </c>
      <c r="G65" s="13">
        <f>E65/C65</f>
        <v>4.7150231339020736E-2</v>
      </c>
      <c r="H65" s="11">
        <f>[27]Cuadro01a!$I$9</f>
        <v>634149</v>
      </c>
      <c r="I65" s="14">
        <f>H65/D65</f>
        <v>0.38713298922814421</v>
      </c>
      <c r="J65" s="63">
        <f t="shared" si="30"/>
        <v>922859</v>
      </c>
      <c r="K65" s="45">
        <f t="shared" si="28"/>
        <v>6.1549873536366789E-2</v>
      </c>
      <c r="L65" s="11">
        <v>100822.69359434866</v>
      </c>
      <c r="M65" s="46">
        <f t="shared" si="29"/>
        <v>0.32558265246802393</v>
      </c>
      <c r="N65" s="50">
        <v>533325.54761503357</v>
      </c>
    </row>
    <row r="66" spans="1:14" x14ac:dyDescent="0.25">
      <c r="A66" s="18">
        <v>2005</v>
      </c>
      <c r="B66" s="33">
        <f>[28]Cuadro01!$E$9</f>
        <v>2518595.8870529206</v>
      </c>
      <c r="C66" s="11">
        <f>[28]Cuadro01!$H$9</f>
        <v>1769566.8133667649</v>
      </c>
      <c r="D66" s="11">
        <f>[28]Cuadro01!$K$9</f>
        <v>1700174.5513961879</v>
      </c>
      <c r="E66" s="11">
        <f>[28]Cuadro01!$N$9</f>
        <v>69392.261970606327</v>
      </c>
      <c r="F66" s="13">
        <f t="shared" ref="F66:F76" si="31">D66/C66</f>
        <v>0.96078573499095421</v>
      </c>
      <c r="G66" s="13">
        <f t="shared" ref="G66:G76" si="32">E66/C66</f>
        <v>3.9214265009062367E-2</v>
      </c>
      <c r="H66" s="11">
        <f>[29]Cuadro03!$O$6</f>
        <v>757806.05164112686</v>
      </c>
      <c r="I66" s="14">
        <f t="shared" ref="I66:I76" si="33">H66/D66</f>
        <v>0.44572250009201381</v>
      </c>
      <c r="J66" s="63">
        <f t="shared" si="30"/>
        <v>872976.2377844546</v>
      </c>
      <c r="K66" s="45">
        <f t="shared" si="28"/>
        <v>7.9595318809932369E-2</v>
      </c>
      <c r="L66" s="11">
        <f>[7]Cuadro04!$F$7</f>
        <v>135325.93545091333</v>
      </c>
      <c r="M66" s="46">
        <f t="shared" si="29"/>
        <v>0.36612718128208138</v>
      </c>
      <c r="N66" s="50">
        <f>[7]Cuadro04!$I$7</f>
        <v>622480.11619021348</v>
      </c>
    </row>
    <row r="67" spans="1:14" x14ac:dyDescent="0.25">
      <c r="A67" s="18">
        <v>2006</v>
      </c>
      <c r="B67" s="33">
        <f>[8]Cuadro01!$E$9</f>
        <v>2608547.1337098004</v>
      </c>
      <c r="C67" s="11">
        <f>[8]Cuadro01!$H$9</f>
        <v>1825814.8504535567</v>
      </c>
      <c r="D67" s="11">
        <f>[8]Cuadro01!$K$9</f>
        <v>1771106.5364684577</v>
      </c>
      <c r="E67" s="11">
        <f>[8]Cuadro01!$N$9</f>
        <v>54708.313985102744</v>
      </c>
      <c r="F67" s="13">
        <f t="shared" si="31"/>
        <v>0.97003622028185998</v>
      </c>
      <c r="G67" s="13">
        <f t="shared" si="32"/>
        <v>2.9963779718141997E-2</v>
      </c>
      <c r="H67" s="11">
        <f>[30]Cuadro03!$O$10</f>
        <v>676241.7454196969</v>
      </c>
      <c r="I67" s="14">
        <f t="shared" si="33"/>
        <v>0.38181878475142783</v>
      </c>
      <c r="J67" s="63">
        <f t="shared" si="30"/>
        <v>1040156.4770636579</v>
      </c>
      <c r="K67" s="45">
        <f t="shared" si="28"/>
        <v>4.1844217528493675E-2</v>
      </c>
      <c r="L67" s="11">
        <f>[9]Cuadro04!$F$7</f>
        <v>74110.567178123165</v>
      </c>
      <c r="M67" s="46">
        <f t="shared" si="29"/>
        <v>0.33997456722293418</v>
      </c>
      <c r="N67" s="50">
        <f>[9]Cuadro04!$I$7</f>
        <v>602131.17824157374</v>
      </c>
    </row>
    <row r="68" spans="1:14" x14ac:dyDescent="0.25">
      <c r="A68" s="18">
        <v>2007</v>
      </c>
      <c r="B68" s="33">
        <f>[10]Cuadro01!$E$9</f>
        <v>2693130.4883833095</v>
      </c>
      <c r="C68" s="11">
        <v>1879091.9588132671</v>
      </c>
      <c r="D68" s="11">
        <f>[10]Cuadro01!$K$9</f>
        <v>1831926.683542643</v>
      </c>
      <c r="E68" s="11">
        <f>[10]Cuadro01!$N$9</f>
        <v>47165.27527061088</v>
      </c>
      <c r="F68" s="13">
        <f t="shared" si="31"/>
        <v>0.97489996428891579</v>
      </c>
      <c r="G68" s="13">
        <f t="shared" si="32"/>
        <v>2.5100035711077131E-2</v>
      </c>
      <c r="H68" s="11">
        <f>[31]Cuadro02!$O$7</f>
        <v>768571.69339711871</v>
      </c>
      <c r="I68" s="14">
        <f t="shared" si="33"/>
        <v>0.41954282357568384</v>
      </c>
      <c r="J68" s="63">
        <f t="shared" si="30"/>
        <v>1016189.7148749135</v>
      </c>
      <c r="K68" s="45">
        <f t="shared" si="28"/>
        <v>4.4426901217823687E-2</v>
      </c>
      <c r="L68" s="11">
        <f>[11]Cuadro05!$F$7</f>
        <v>81386.825808044348</v>
      </c>
      <c r="M68" s="46">
        <f t="shared" si="29"/>
        <v>0.37511592235786018</v>
      </c>
      <c r="N68" s="50">
        <f>[11]Cuadro05!$I$7</f>
        <v>687184.8675890743</v>
      </c>
    </row>
    <row r="69" spans="1:14" x14ac:dyDescent="0.25">
      <c r="A69" s="18">
        <v>2008</v>
      </c>
      <c r="B69" s="33">
        <f>[12]C01!$E$9</f>
        <v>2801892.8683210686</v>
      </c>
      <c r="C69" s="11">
        <f>[12]C01!$H$9</f>
        <v>1925970.4672465366</v>
      </c>
      <c r="D69" s="11">
        <f>[12]C01!$K$9</f>
        <v>1869760.933174005</v>
      </c>
      <c r="E69" s="11">
        <f>[12]C01!$N$9</f>
        <v>56209.534072588183</v>
      </c>
      <c r="F69" s="13">
        <f t="shared" si="31"/>
        <v>0.97081495535448603</v>
      </c>
      <c r="G69" s="13">
        <f t="shared" si="32"/>
        <v>2.9185044645543362E-2</v>
      </c>
      <c r="H69" s="11">
        <f>[32]C02!$O$9</f>
        <v>670776.49790292664</v>
      </c>
      <c r="I69" s="14">
        <f t="shared" si="33"/>
        <v>0.35874987331361807</v>
      </c>
      <c r="J69" s="63">
        <f t="shared" si="30"/>
        <v>1142774.9011984901</v>
      </c>
      <c r="K69" s="45">
        <f t="shared" si="28"/>
        <v>2.8959803815289592E-2</v>
      </c>
      <c r="L69" s="11">
        <f>[13]C05!$F$7</f>
        <v>54147.909806211981</v>
      </c>
      <c r="M69" s="46">
        <f t="shared" si="29"/>
        <v>0.32979006949832851</v>
      </c>
      <c r="N69" s="50">
        <f>[13]C05!$I$7</f>
        <v>616628.58809671469</v>
      </c>
    </row>
    <row r="70" spans="1:14" x14ac:dyDescent="0.25">
      <c r="A70" s="18">
        <v>2009</v>
      </c>
      <c r="B70" s="33">
        <f>'[14]2001-2021'!$E$9</f>
        <v>132321.45650500615</v>
      </c>
      <c r="C70" s="11">
        <f>D70+E70</f>
        <v>2086874</v>
      </c>
      <c r="D70" s="11">
        <v>2033135</v>
      </c>
      <c r="E70" s="11">
        <v>53739</v>
      </c>
      <c r="F70" s="13">
        <f t="shared" si="31"/>
        <v>0.97424904426429193</v>
      </c>
      <c r="G70" s="13">
        <f t="shared" si="32"/>
        <v>2.5750955735708049E-2</v>
      </c>
      <c r="H70" s="11">
        <f>[33]C02!$I$9</f>
        <v>908177.57177271997</v>
      </c>
      <c r="I70" s="61">
        <f t="shared" si="33"/>
        <v>0.44668827784319287</v>
      </c>
      <c r="J70" s="30">
        <f t="shared" si="30"/>
        <v>1071218.42822728</v>
      </c>
      <c r="K70" s="64">
        <f t="shared" si="28"/>
        <v>3.4232308056526634E-2</v>
      </c>
      <c r="L70" s="11">
        <f>[15]C02!$I$7</f>
        <v>69598.90364050628</v>
      </c>
      <c r="M70" s="65">
        <f t="shared" si="29"/>
        <v>0.41245596978666621</v>
      </c>
      <c r="N70" s="50">
        <f>[15]C02!$L$7</f>
        <v>838578.66813221364</v>
      </c>
    </row>
    <row r="71" spans="1:14" x14ac:dyDescent="0.25">
      <c r="A71" s="18">
        <v>2010</v>
      </c>
      <c r="B71" s="33">
        <f>[16]C01!$E$9</f>
        <v>3049482.9937090501</v>
      </c>
      <c r="C71" s="11">
        <f>[16]C01!$H$9</f>
        <v>2166173.768269734</v>
      </c>
      <c r="D71" s="11">
        <f>[16]C01!$K$9</f>
        <v>2096518.8710822398</v>
      </c>
      <c r="E71" s="11">
        <f>[16]C01!$N$9</f>
        <v>69654.897187522743</v>
      </c>
      <c r="F71" s="13">
        <f t="shared" si="31"/>
        <v>0.96784427075620427</v>
      </c>
      <c r="G71" s="13">
        <f t="shared" si="32"/>
        <v>3.215572924380887E-2</v>
      </c>
      <c r="H71" s="11">
        <f>[34]C02!$I$32</f>
        <v>924687.58246825344</v>
      </c>
      <c r="I71" s="14">
        <f t="shared" si="33"/>
        <v>0.44105855436012475</v>
      </c>
      <c r="J71" s="63">
        <f>D71-E71-H71</f>
        <v>1102176.3914264636</v>
      </c>
      <c r="K71" s="45">
        <f t="shared" si="28"/>
        <v>6.9833684487992181E-2</v>
      </c>
      <c r="L71" s="11">
        <f>[17]C02!$I$6</f>
        <v>146407.63736627868</v>
      </c>
      <c r="M71" s="46">
        <f t="shared" si="29"/>
        <v>0.3712248698721326</v>
      </c>
      <c r="N71" s="50">
        <f>[17]C02!$L$6</f>
        <v>778279.94510197476</v>
      </c>
    </row>
    <row r="72" spans="1:14" x14ac:dyDescent="0.25">
      <c r="A72" s="18">
        <v>2011</v>
      </c>
      <c r="B72" s="35">
        <f>[18]C01!$E$8</f>
        <v>3101918.386952363</v>
      </c>
      <c r="C72" s="11">
        <f>SUM(D72,E72)</f>
        <v>2183811.2855554312</v>
      </c>
      <c r="D72" s="11">
        <f>[35]C02!$D$6</f>
        <v>2112345.1449659583</v>
      </c>
      <c r="E72" s="11">
        <f>[18]C01!$N$8</f>
        <v>71466.140589472954</v>
      </c>
      <c r="F72" s="13">
        <f t="shared" si="31"/>
        <v>0.96727458042635028</v>
      </c>
      <c r="G72" s="13">
        <f t="shared" si="32"/>
        <v>3.2725419573649758E-2</v>
      </c>
      <c r="H72" s="11">
        <f>[35]C02!$I$8</f>
        <v>1023576.2604239427</v>
      </c>
      <c r="I72" s="14">
        <f t="shared" si="33"/>
        <v>0.48456866192690223</v>
      </c>
      <c r="J72" s="63">
        <f t="shared" si="30"/>
        <v>1017302.7439525428</v>
      </c>
      <c r="K72" s="45">
        <f t="shared" si="28"/>
        <v>8.2241508069630695E-2</v>
      </c>
      <c r="L72" s="11">
        <f>[19]C02!$I$6</f>
        <v>173722.45028556307</v>
      </c>
      <c r="M72" s="46">
        <f t="shared" si="29"/>
        <v>0.40232715385727147</v>
      </c>
      <c r="N72" s="50">
        <f>[19]C02!$L$6</f>
        <v>849853.81013837957</v>
      </c>
    </row>
    <row r="73" spans="1:14" x14ac:dyDescent="0.25">
      <c r="A73" s="18">
        <v>2012</v>
      </c>
      <c r="B73" s="11">
        <f>[20]C01!$E$8</f>
        <v>3175964.973526625</v>
      </c>
      <c r="C73" s="11">
        <f>[20]C01!$H$8</f>
        <v>2196467.0924211736</v>
      </c>
      <c r="D73" s="11">
        <f>[20]C01!$K$8</f>
        <v>2133713.3382679261</v>
      </c>
      <c r="E73" s="11">
        <f>[20]C01!$N$8</f>
        <v>62753.754153283604</v>
      </c>
      <c r="F73" s="13">
        <f t="shared" si="31"/>
        <v>0.97142968616749281</v>
      </c>
      <c r="G73" s="13">
        <f t="shared" si="32"/>
        <v>2.8570313832523626E-2</v>
      </c>
      <c r="H73" s="11">
        <f>[36]C02!$I$8</f>
        <v>1207453.6848279107</v>
      </c>
      <c r="I73" s="14">
        <f t="shared" si="33"/>
        <v>0.5658931137432357</v>
      </c>
      <c r="J73" s="63">
        <f t="shared" si="30"/>
        <v>863505.89928673184</v>
      </c>
      <c r="K73" s="45">
        <f t="shared" si="28"/>
        <v>8.4414238245443918E-2</v>
      </c>
      <c r="L73" s="11">
        <f>[21]C05!$F$6</f>
        <v>180115.78608403017</v>
      </c>
      <c r="M73" s="46">
        <f t="shared" si="29"/>
        <v>0.48147887549779189</v>
      </c>
      <c r="N73" s="50">
        <f>[21]C05!$I$6</f>
        <v>1027337.8987438807</v>
      </c>
    </row>
    <row r="74" spans="1:14" x14ac:dyDescent="0.25">
      <c r="A74" s="18">
        <v>2013</v>
      </c>
      <c r="B74" s="35">
        <f>[22]C01!$E$8</f>
        <v>3192875.4644763572</v>
      </c>
      <c r="C74" s="11">
        <f>[22]C01!$H$8</f>
        <v>2303155.4909033966</v>
      </c>
      <c r="D74" s="11">
        <f>[22]C01!$K$8</f>
        <v>2227000.1327829161</v>
      </c>
      <c r="E74" s="11">
        <f>[22]C01!$N$8</f>
        <v>76155.358120474077</v>
      </c>
      <c r="F74" s="13">
        <f t="shared" si="31"/>
        <v>0.96693433924836347</v>
      </c>
      <c r="G74" s="13">
        <f t="shared" si="32"/>
        <v>3.3065660751633696E-2</v>
      </c>
      <c r="H74" s="11">
        <f>[37]C02!$L$8</f>
        <v>1218346.7146978974</v>
      </c>
      <c r="I74" s="14">
        <f t="shared" si="33"/>
        <v>0.54707976742480946</v>
      </c>
      <c r="J74" s="63">
        <f t="shared" si="30"/>
        <v>932498.05996454461</v>
      </c>
      <c r="K74" s="45">
        <f t="shared" si="28"/>
        <v>0.10774135081872611</v>
      </c>
      <c r="L74" s="11">
        <f>[23]C05!$F$6</f>
        <v>239940.00257951379</v>
      </c>
      <c r="M74" s="46">
        <f t="shared" si="29"/>
        <v>0.4393384166060833</v>
      </c>
      <c r="N74" s="50">
        <f>[23]C05!$I$6</f>
        <v>978406.71211838361</v>
      </c>
    </row>
    <row r="75" spans="1:14" x14ac:dyDescent="0.25">
      <c r="A75" s="18">
        <v>2014</v>
      </c>
      <c r="B75" s="11">
        <f>[24]C01!$E$8</f>
        <v>3059715.122057057</v>
      </c>
      <c r="C75" s="11">
        <f>[24]C01!$H$8</f>
        <v>2251283.1810982185</v>
      </c>
      <c r="D75" s="11">
        <f>[24]C01!$K$8</f>
        <v>2151008.0174051463</v>
      </c>
      <c r="E75" s="11">
        <f>[24]C01!$N$8</f>
        <v>100275.16369308505</v>
      </c>
      <c r="F75" s="13">
        <f t="shared" si="31"/>
        <v>0.95545866262628221</v>
      </c>
      <c r="G75" s="13">
        <f t="shared" si="32"/>
        <v>4.4541337373723427E-2</v>
      </c>
      <c r="H75" s="11">
        <f>[38]C02!$I$8</f>
        <v>901702.86529989843</v>
      </c>
      <c r="I75" s="14">
        <f t="shared" si="33"/>
        <v>0.41920014151674873</v>
      </c>
      <c r="J75" s="63">
        <f t="shared" si="30"/>
        <v>1149029.9884121628</v>
      </c>
      <c r="K75" s="45">
        <f t="shared" si="28"/>
        <v>0.11174371962849276</v>
      </c>
      <c r="L75" s="11">
        <f>[25]C05!$F$6</f>
        <v>240361.63681556075</v>
      </c>
      <c r="M75" s="46">
        <f t="shared" si="29"/>
        <v>0.30745642188825595</v>
      </c>
      <c r="N75" s="50">
        <f>[25]C05!$I$6</f>
        <v>661341.22848433768</v>
      </c>
    </row>
    <row r="76" spans="1:14" x14ac:dyDescent="0.25">
      <c r="A76" s="18">
        <v>2015</v>
      </c>
      <c r="B76" s="35">
        <v>3169731</v>
      </c>
      <c r="C76" s="11">
        <v>2358247</v>
      </c>
      <c r="D76" s="11">
        <v>2255446</v>
      </c>
      <c r="E76" s="11">
        <v>102801</v>
      </c>
      <c r="F76" s="13">
        <f t="shared" si="31"/>
        <v>0.95640787415397965</v>
      </c>
      <c r="G76" s="13">
        <f t="shared" si="32"/>
        <v>4.3592125846020367E-2</v>
      </c>
      <c r="H76" s="11">
        <f>[39]C02!$I$8</f>
        <v>1279798.069916659</v>
      </c>
      <c r="I76" s="14">
        <f t="shared" si="33"/>
        <v>0.56742571975416789</v>
      </c>
      <c r="J76" s="63">
        <f t="shared" si="30"/>
        <v>872846.93008334097</v>
      </c>
      <c r="K76" s="45">
        <f t="shared" si="28"/>
        <v>0.12473541818336595</v>
      </c>
      <c r="L76" s="11">
        <v>281334</v>
      </c>
      <c r="M76" s="46">
        <f t="shared" si="29"/>
        <v>0.44269027057176275</v>
      </c>
      <c r="N76" s="50">
        <v>998464</v>
      </c>
    </row>
    <row r="77" spans="1:14" x14ac:dyDescent="0.25">
      <c r="A77" s="18">
        <v>2016</v>
      </c>
      <c r="B77" s="35">
        <v>3199735.3356332006</v>
      </c>
      <c r="C77" s="11">
        <v>2368797.4720803881</v>
      </c>
      <c r="D77" s="11">
        <v>2246940.5478480123</v>
      </c>
      <c r="E77" s="11">
        <v>121856.92423239638</v>
      </c>
      <c r="F77" s="13">
        <f t="shared" ref="F77:F81" si="34">D77/C77</f>
        <v>0.94855747455465012</v>
      </c>
      <c r="G77" s="13">
        <f t="shared" ref="G77:G81" si="35">E77/C77</f>
        <v>5.1442525445358551E-2</v>
      </c>
      <c r="H77" s="11">
        <f>+L77+N77</f>
        <v>1307183.710816334</v>
      </c>
      <c r="I77" s="14">
        <f t="shared" ref="I77:I81" si="36">H77/D77</f>
        <v>0.58176159225408874</v>
      </c>
      <c r="J77" s="63">
        <f t="shared" si="30"/>
        <v>817899.912799282</v>
      </c>
      <c r="K77" s="45">
        <f t="shared" ref="K77:K83" si="37">L77/D77</f>
        <v>0.10030737192179649</v>
      </c>
      <c r="L77" s="11">
        <v>225384.70121915574</v>
      </c>
      <c r="M77" s="46">
        <f t="shared" ref="M77:M83" si="38">N77/D77</f>
        <v>0.48145422033229224</v>
      </c>
      <c r="N77" s="50">
        <v>1081799.0095971783</v>
      </c>
    </row>
    <row r="78" spans="1:14" x14ac:dyDescent="0.25">
      <c r="A78" s="18">
        <v>2017</v>
      </c>
      <c r="B78" s="35">
        <v>3269481.2841366408</v>
      </c>
      <c r="C78" s="11">
        <v>2486400.0838296288</v>
      </c>
      <c r="D78" s="11">
        <v>2385943.5906725135</v>
      </c>
      <c r="E78" s="11">
        <v>100456.49315710196</v>
      </c>
      <c r="F78" s="13">
        <f t="shared" si="34"/>
        <v>0.95959761511816344</v>
      </c>
      <c r="G78" s="13">
        <f t="shared" si="35"/>
        <v>4.040238488183117E-2</v>
      </c>
      <c r="H78" s="11">
        <f t="shared" ref="H78:H82" si="39">+L78+N78</f>
        <v>1406997.0920459738</v>
      </c>
      <c r="I78" s="14">
        <f t="shared" si="36"/>
        <v>0.58970258037382639</v>
      </c>
      <c r="J78" s="63">
        <f t="shared" si="30"/>
        <v>878490.00546943792</v>
      </c>
      <c r="K78" s="45">
        <f t="shared" si="37"/>
        <v>9.9129155984422526E-2</v>
      </c>
      <c r="L78" s="11">
        <v>236516.57436980875</v>
      </c>
      <c r="M78" s="46">
        <f t="shared" si="38"/>
        <v>0.49057342438940388</v>
      </c>
      <c r="N78" s="50">
        <v>1170480.5176761651</v>
      </c>
    </row>
    <row r="79" spans="1:14" x14ac:dyDescent="0.25">
      <c r="A79" s="18">
        <v>2018</v>
      </c>
      <c r="B79" s="35">
        <v>3421949.6828767625</v>
      </c>
      <c r="C79" s="11">
        <v>2609239.9848486269</v>
      </c>
      <c r="D79" s="11">
        <v>2490998.3382148035</v>
      </c>
      <c r="E79" s="11">
        <v>118241.64663388518</v>
      </c>
      <c r="F79" s="13">
        <f t="shared" si="34"/>
        <v>0.95468349123866303</v>
      </c>
      <c r="G79" s="13">
        <f t="shared" si="35"/>
        <v>4.5316508761360591E-2</v>
      </c>
      <c r="H79" s="11">
        <f t="shared" si="39"/>
        <v>1642931.7746295654</v>
      </c>
      <c r="I79" s="14">
        <f t="shared" si="36"/>
        <v>0.65954751933194278</v>
      </c>
      <c r="J79" s="63">
        <f t="shared" si="30"/>
        <v>729824.91695135273</v>
      </c>
      <c r="K79" s="45">
        <f t="shared" si="37"/>
        <v>0.10039566324177744</v>
      </c>
      <c r="L79" s="52">
        <v>250085.43029924063</v>
      </c>
      <c r="M79" s="46">
        <f t="shared" si="38"/>
        <v>0.55915185609016538</v>
      </c>
      <c r="N79" s="51">
        <v>1392846.3443303248</v>
      </c>
    </row>
    <row r="80" spans="1:14" x14ac:dyDescent="0.25">
      <c r="A80" s="18">
        <v>2019</v>
      </c>
      <c r="B80" s="35">
        <v>3488015.0797783341</v>
      </c>
      <c r="C80" s="11">
        <v>2617848.1414016634</v>
      </c>
      <c r="D80" s="11">
        <v>2507324.3099702084</v>
      </c>
      <c r="E80" s="11">
        <v>110523.83143146029</v>
      </c>
      <c r="F80" s="13">
        <f t="shared" si="34"/>
        <v>0.95778065591983585</v>
      </c>
      <c r="G80" s="13">
        <f t="shared" si="35"/>
        <v>4.2219344080166157E-2</v>
      </c>
      <c r="H80" s="11">
        <f>+L80+N80</f>
        <v>1591566.5736265189</v>
      </c>
      <c r="I80" s="14">
        <f>H80/D80</f>
        <v>0.63476693752689284</v>
      </c>
      <c r="J80" s="63">
        <f t="shared" si="30"/>
        <v>805233.90491222939</v>
      </c>
      <c r="K80" s="45">
        <f t="shared" si="37"/>
        <v>7.2591808290407497E-2</v>
      </c>
      <c r="L80" s="52">
        <v>182011.20563123564</v>
      </c>
      <c r="M80" s="46">
        <f t="shared" si="38"/>
        <v>0.56217512923648538</v>
      </c>
      <c r="N80" s="51">
        <v>1409555.3679952833</v>
      </c>
    </row>
    <row r="81" spans="1:14" x14ac:dyDescent="0.25">
      <c r="A81" s="18">
        <v>2020</v>
      </c>
      <c r="B81" s="35">
        <v>3168454.9666744326</v>
      </c>
      <c r="C81" s="11">
        <v>2317647.5450192094</v>
      </c>
      <c r="D81" s="11">
        <v>2115193.8134488659</v>
      </c>
      <c r="E81" s="11">
        <v>202453.73157034745</v>
      </c>
      <c r="F81" s="13">
        <f t="shared" si="34"/>
        <v>0.91264688541386241</v>
      </c>
      <c r="G81" s="13">
        <f t="shared" si="35"/>
        <v>8.7353114586139299E-2</v>
      </c>
      <c r="H81" s="11">
        <f t="shared" si="39"/>
        <v>1491085.0321472492</v>
      </c>
      <c r="I81" s="14">
        <f t="shared" si="36"/>
        <v>0.7049401443341049</v>
      </c>
      <c r="J81" s="63">
        <f t="shared" si="30"/>
        <v>421655.04973126925</v>
      </c>
      <c r="K81" s="45">
        <f t="shared" si="37"/>
        <v>0.20556024391988259</v>
      </c>
      <c r="L81" s="52">
        <v>434799.7562303755</v>
      </c>
      <c r="M81" s="46">
        <f t="shared" si="38"/>
        <v>0.49937990041422226</v>
      </c>
      <c r="N81" s="51">
        <v>1056285.2759168737</v>
      </c>
    </row>
    <row r="82" spans="1:14" x14ac:dyDescent="0.25">
      <c r="A82" s="18">
        <v>2021</v>
      </c>
      <c r="B82" s="35">
        <v>3144545.7620127369</v>
      </c>
      <c r="C82" s="11">
        <v>2337252.7171059581</v>
      </c>
      <c r="D82" s="11">
        <v>2173399.2164419214</v>
      </c>
      <c r="E82" s="11">
        <v>163853.50066402974</v>
      </c>
      <c r="F82" s="13">
        <f>D82/C82</f>
        <v>0.92989482931613654</v>
      </c>
      <c r="G82" s="13">
        <f>E82/C82</f>
        <v>7.0105170683860421E-2</v>
      </c>
      <c r="H82" s="11">
        <f t="shared" si="39"/>
        <v>1436016.7847248497</v>
      </c>
      <c r="I82" s="14">
        <f>H82/D82</f>
        <v>0.66072388996061071</v>
      </c>
      <c r="J82" s="63">
        <f>D82-E82-H82</f>
        <v>573528.93105304195</v>
      </c>
      <c r="K82" s="45">
        <f t="shared" si="37"/>
        <v>0.36790235026347495</v>
      </c>
      <c r="L82" s="52">
        <v>799598.67978977785</v>
      </c>
      <c r="M82" s="46">
        <f t="shared" si="38"/>
        <v>0.29282153969713581</v>
      </c>
      <c r="N82" s="51">
        <v>636418.10493507201</v>
      </c>
    </row>
    <row r="83" spans="1:14" ht="15.75" thickBot="1" x14ac:dyDescent="0.3">
      <c r="A83" s="19">
        <v>2022</v>
      </c>
      <c r="B83" s="37">
        <v>3087578</v>
      </c>
      <c r="C83" s="25">
        <v>2332611</v>
      </c>
      <c r="D83" s="25">
        <v>2188858</v>
      </c>
      <c r="E83" s="25">
        <v>143754</v>
      </c>
      <c r="F83" s="16">
        <f>D83/C83</f>
        <v>0.93837249331328709</v>
      </c>
      <c r="G83" s="16">
        <f>E83/C83</f>
        <v>6.1627935390855995E-2</v>
      </c>
      <c r="H83" s="25">
        <v>1280117.8852793956</v>
      </c>
      <c r="I83" s="62">
        <f t="shared" ref="I83" si="40">H83/D83</f>
        <v>0.58483368280600911</v>
      </c>
      <c r="J83" s="66">
        <f>D83-E83-H83</f>
        <v>764986.11472060438</v>
      </c>
      <c r="K83" s="48">
        <f t="shared" si="37"/>
        <v>0.1894056400404649</v>
      </c>
      <c r="L83" s="54">
        <v>414582.05044769193</v>
      </c>
      <c r="M83" s="49">
        <f t="shared" si="38"/>
        <v>0.39542804276554427</v>
      </c>
      <c r="N83" s="55">
        <v>865535.83483170369</v>
      </c>
    </row>
    <row r="84" spans="1:14" x14ac:dyDescent="0.25">
      <c r="A84" s="20" t="s">
        <v>18</v>
      </c>
      <c r="B84" s="21"/>
      <c r="C84" s="21"/>
      <c r="D84" s="21"/>
      <c r="E84" s="21"/>
      <c r="F84" s="24"/>
      <c r="G84" s="22"/>
      <c r="H84" s="21"/>
      <c r="I84" s="23"/>
    </row>
    <row r="85" spans="1:14" x14ac:dyDescent="0.25">
      <c r="A85" t="s">
        <v>17</v>
      </c>
    </row>
  </sheetData>
  <mergeCells count="5">
    <mergeCell ref="A59:N59"/>
    <mergeCell ref="A3:N3"/>
    <mergeCell ref="A4:N4"/>
    <mergeCell ref="A32:N32"/>
    <mergeCell ref="A58:N58"/>
  </mergeCells>
  <pageMargins left="0.70866141732283472" right="0.70866141732283472" top="0.74803149606299213" bottom="0.74803149606299213" header="0.31496062992125984" footer="0.31496062992125984"/>
  <pageSetup scale="5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G12"/>
  <sheetViews>
    <sheetView showGridLines="0" tabSelected="1" workbookViewId="0">
      <selection activeCell="K25" sqref="K25"/>
    </sheetView>
  </sheetViews>
  <sheetFormatPr baseColWidth="10" defaultRowHeight="15" x14ac:dyDescent="0.25"/>
  <sheetData>
    <row r="4" spans="2:7" ht="18" x14ac:dyDescent="0.25">
      <c r="B4" s="68"/>
      <c r="C4" s="68"/>
      <c r="D4" s="68"/>
      <c r="E4" s="68"/>
      <c r="F4" s="68"/>
      <c r="G4" s="68"/>
    </row>
    <row r="5" spans="2:7" ht="34.5" customHeight="1" x14ac:dyDescent="0.25">
      <c r="B5" s="70" t="s">
        <v>24</v>
      </c>
      <c r="C5" s="70"/>
      <c r="D5" s="70"/>
      <c r="E5" s="70"/>
      <c r="F5" s="70"/>
      <c r="G5" s="70"/>
    </row>
    <row r="6" spans="2:7" ht="15.75" thickBot="1" x14ac:dyDescent="0.3"/>
    <row r="7" spans="2:7" ht="30" x14ac:dyDescent="0.25">
      <c r="B7" s="40"/>
      <c r="C7" s="42" t="s">
        <v>6</v>
      </c>
      <c r="D7" s="42" t="s">
        <v>7</v>
      </c>
      <c r="E7" s="42" t="s">
        <v>10</v>
      </c>
      <c r="F7" s="42" t="s">
        <v>12</v>
      </c>
      <c r="G7" s="43" t="s">
        <v>13</v>
      </c>
    </row>
    <row r="8" spans="2:7" ht="22.5" customHeight="1" x14ac:dyDescent="0.25">
      <c r="B8" s="18">
        <v>2020</v>
      </c>
      <c r="C8" s="13">
        <v>0.89087803009578692</v>
      </c>
      <c r="D8" s="13">
        <v>0.10912196990421263</v>
      </c>
      <c r="E8" s="45">
        <v>0.27260617534438142</v>
      </c>
      <c r="F8" s="46">
        <v>0.43384084990868121</v>
      </c>
      <c r="G8" s="15">
        <v>0.70644702525306269</v>
      </c>
    </row>
    <row r="9" spans="2:7" ht="22.5" customHeight="1" x14ac:dyDescent="0.25">
      <c r="B9" s="18">
        <v>2021</v>
      </c>
      <c r="C9" s="13">
        <v>0.91431141507709646</v>
      </c>
      <c r="D9" s="13">
        <v>8.5688584922902628E-2</v>
      </c>
      <c r="E9" s="45">
        <v>0.41244975937384298</v>
      </c>
      <c r="F9" s="46">
        <v>0.26921631887356084</v>
      </c>
      <c r="G9" s="15">
        <v>0.68166607824740377</v>
      </c>
    </row>
    <row r="10" spans="2:7" ht="22.5" customHeight="1" thickBot="1" x14ac:dyDescent="0.3">
      <c r="B10" s="19">
        <v>2022</v>
      </c>
      <c r="C10" s="16">
        <v>0.91058871103081562</v>
      </c>
      <c r="D10" s="16">
        <v>8.9411288969184377E-2</v>
      </c>
      <c r="E10" s="48">
        <v>0.20892819110944449</v>
      </c>
      <c r="F10" s="49">
        <v>0.36653599738351023</v>
      </c>
      <c r="G10" s="17">
        <v>0.57546418849295478</v>
      </c>
    </row>
    <row r="11" spans="2:7" x14ac:dyDescent="0.25">
      <c r="B11" s="20" t="s">
        <v>14</v>
      </c>
      <c r="C11" s="29"/>
    </row>
    <row r="12" spans="2:7" x14ac:dyDescent="0.25">
      <c r="B12" s="20" t="s">
        <v>22</v>
      </c>
      <c r="C12" s="28"/>
    </row>
  </sheetData>
  <mergeCells count="2">
    <mergeCell ref="B4:G4"/>
    <mergeCell ref="B5:G5"/>
  </mergeCell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PORTADA</vt:lpstr>
      <vt:lpstr>Principales Indicadores ML</vt:lpstr>
      <vt:lpstr>GRAFICO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Candido Ordoñez</dc:creator>
  <cp:lastModifiedBy>HP Inc.</cp:lastModifiedBy>
  <cp:lastPrinted>2023-05-15T18:03:26Z</cp:lastPrinted>
  <dcterms:created xsi:type="dcterms:W3CDTF">2016-09-21T16:59:52Z</dcterms:created>
  <dcterms:modified xsi:type="dcterms:W3CDTF">2023-05-26T21:30:24Z</dcterms:modified>
</cp:coreProperties>
</file>